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Hallinto\hallintopalvelut\Rahatoimisto\Hankkeet\Kuntaliitosselvitys 2018\Taloustiedot\Ohjausryhmä 29.1.2019\"/>
    </mc:Choice>
  </mc:AlternateContent>
  <bookViews>
    <workbookView xWindow="0" yWindow="0" windowWidth="20160" windowHeight="9612" activeTab="2"/>
  </bookViews>
  <sheets>
    <sheet name="Yhteinen kunta" sheetId="1" r:id="rId1"/>
    <sheet name="Nurmes" sheetId="3" r:id="rId2"/>
    <sheet name="Valtimo" sheetId="4" r:id="rId3"/>
  </sheets>
  <externalReferences>
    <externalReference r:id="rId4"/>
    <externalReference r:id="rId5"/>
    <externalReference r:id="rId6"/>
  </externalReferences>
  <definedNames>
    <definedName name="_xlnm.Print_Titles" localSheetId="1">Nurmes!$1:$7</definedName>
    <definedName name="_xlnm.Print_Titles" localSheetId="2">Valtimo!$1:$7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4" l="1"/>
  <c r="Q52" i="1"/>
  <c r="F54" i="1"/>
  <c r="G54" i="1"/>
  <c r="H54" i="1"/>
  <c r="I54" i="1"/>
  <c r="J54" i="1"/>
  <c r="K54" i="1"/>
  <c r="L54" i="1"/>
  <c r="M54" i="1"/>
  <c r="N54" i="1"/>
  <c r="O54" i="1"/>
  <c r="P54" i="1"/>
  <c r="Q54" i="1"/>
  <c r="E54" i="1"/>
  <c r="I26" i="4"/>
  <c r="I26" i="1"/>
  <c r="I52" i="1"/>
  <c r="K25" i="1"/>
  <c r="K26" i="1"/>
  <c r="K27" i="1"/>
  <c r="K52" i="1"/>
  <c r="L25" i="1"/>
  <c r="L26" i="1"/>
  <c r="L27" i="1"/>
  <c r="L52" i="1"/>
  <c r="M25" i="1"/>
  <c r="M26" i="1"/>
  <c r="M27" i="1"/>
  <c r="M52" i="1"/>
  <c r="N25" i="1"/>
  <c r="N26" i="1"/>
  <c r="N27" i="1"/>
  <c r="N52" i="1"/>
  <c r="O25" i="1"/>
  <c r="O26" i="1"/>
  <c r="O27" i="1"/>
  <c r="O52" i="1"/>
  <c r="P25" i="1"/>
  <c r="P26" i="1"/>
  <c r="P27" i="1"/>
  <c r="P52" i="1"/>
  <c r="Q25" i="1"/>
  <c r="Q26" i="1"/>
  <c r="Q27" i="1"/>
  <c r="Q57" i="1"/>
  <c r="E10" i="1"/>
  <c r="E9" i="3"/>
  <c r="F9" i="3"/>
  <c r="G9" i="3"/>
  <c r="H9" i="3"/>
  <c r="E9" i="1"/>
  <c r="E18" i="1"/>
  <c r="E11" i="1"/>
  <c r="F11" i="1"/>
  <c r="G11" i="1"/>
  <c r="H11" i="1"/>
  <c r="I11" i="4"/>
  <c r="I11" i="1"/>
  <c r="J11" i="4"/>
  <c r="J11" i="1"/>
  <c r="E12" i="1"/>
  <c r="F12" i="1"/>
  <c r="G12" i="1"/>
  <c r="H12" i="1"/>
  <c r="I12" i="4"/>
  <c r="I12" i="1"/>
  <c r="J12" i="4"/>
  <c r="J12" i="1"/>
  <c r="E13" i="1"/>
  <c r="F13" i="1"/>
  <c r="G13" i="1"/>
  <c r="H13" i="1"/>
  <c r="I14" i="4"/>
  <c r="I15" i="4"/>
  <c r="I16" i="4"/>
  <c r="I13" i="4"/>
  <c r="I13" i="1"/>
  <c r="J13" i="4"/>
  <c r="J13" i="1"/>
  <c r="E14" i="1"/>
  <c r="F14" i="1"/>
  <c r="G14" i="1"/>
  <c r="H14" i="1"/>
  <c r="I14" i="1"/>
  <c r="J14" i="4"/>
  <c r="J14" i="1"/>
  <c r="E15" i="1"/>
  <c r="F15" i="1"/>
  <c r="G15" i="1"/>
  <c r="H15" i="1"/>
  <c r="I15" i="1"/>
  <c r="J15" i="4"/>
  <c r="J15" i="1"/>
  <c r="E16" i="1"/>
  <c r="F16" i="1"/>
  <c r="G16" i="1"/>
  <c r="H16" i="1"/>
  <c r="I16" i="1"/>
  <c r="J16" i="4"/>
  <c r="J16" i="1"/>
  <c r="F18" i="1"/>
  <c r="G18" i="1"/>
  <c r="H18" i="1"/>
  <c r="I10" i="4"/>
  <c r="I9" i="4"/>
  <c r="I18" i="4"/>
  <c r="I18" i="1"/>
  <c r="J18" i="4"/>
  <c r="J18" i="1"/>
  <c r="E21" i="1"/>
  <c r="F21" i="1"/>
  <c r="G21" i="1"/>
  <c r="H21" i="1"/>
  <c r="I23" i="4"/>
  <c r="I21" i="4"/>
  <c r="I21" i="1"/>
  <c r="J21" i="4"/>
  <c r="J21" i="1"/>
  <c r="E22" i="1"/>
  <c r="F22" i="1"/>
  <c r="G22" i="1"/>
  <c r="H22" i="1"/>
  <c r="I22" i="1"/>
  <c r="J22" i="1"/>
  <c r="E23" i="1"/>
  <c r="F23" i="1"/>
  <c r="G23" i="1"/>
  <c r="I23" i="1"/>
  <c r="J23" i="4"/>
  <c r="J23" i="1"/>
  <c r="E24" i="1"/>
  <c r="F24" i="1"/>
  <c r="G24" i="1"/>
  <c r="H24" i="1"/>
  <c r="I24" i="4"/>
  <c r="I24" i="1"/>
  <c r="J24" i="4"/>
  <c r="J24" i="1"/>
  <c r="E25" i="1"/>
  <c r="F25" i="1"/>
  <c r="G25" i="1"/>
  <c r="H25" i="1"/>
  <c r="I25" i="1"/>
  <c r="J25" i="1"/>
  <c r="E26" i="1"/>
  <c r="F26" i="1"/>
  <c r="G26" i="1"/>
  <c r="H26" i="1"/>
  <c r="J26" i="4"/>
  <c r="J26" i="1"/>
  <c r="E27" i="1"/>
  <c r="F27" i="1"/>
  <c r="G27" i="1"/>
  <c r="H27" i="1"/>
  <c r="I27" i="1"/>
  <c r="J27" i="1"/>
  <c r="E28" i="1"/>
  <c r="F28" i="1"/>
  <c r="G28" i="1"/>
  <c r="H28" i="1"/>
  <c r="I28" i="1"/>
  <c r="J28" i="1"/>
  <c r="E29" i="1"/>
  <c r="F29" i="1"/>
  <c r="G29" i="1"/>
  <c r="H29" i="1"/>
  <c r="I32" i="4"/>
  <c r="I33" i="4"/>
  <c r="I29" i="4"/>
  <c r="I29" i="1"/>
  <c r="J29" i="4"/>
  <c r="J29" i="1"/>
  <c r="E30" i="1"/>
  <c r="F30" i="1"/>
  <c r="G30" i="1"/>
  <c r="H30" i="1"/>
  <c r="I30" i="1"/>
  <c r="J30" i="1"/>
  <c r="E31" i="1"/>
  <c r="F31" i="1"/>
  <c r="G31" i="1"/>
  <c r="H31" i="1"/>
  <c r="I31" i="1"/>
  <c r="J31" i="1"/>
  <c r="E32" i="1"/>
  <c r="F32" i="1"/>
  <c r="G32" i="1"/>
  <c r="H32" i="1"/>
  <c r="I32" i="1"/>
  <c r="J32" i="4"/>
  <c r="J32" i="1"/>
  <c r="E33" i="1"/>
  <c r="F33" i="1"/>
  <c r="G33" i="1"/>
  <c r="H33" i="1"/>
  <c r="I33" i="1"/>
  <c r="J33" i="4"/>
  <c r="J33" i="1"/>
  <c r="E35" i="1"/>
  <c r="F35" i="1"/>
  <c r="G35" i="1"/>
  <c r="H35" i="1"/>
  <c r="I35" i="4"/>
  <c r="I35" i="1"/>
  <c r="J35" i="4"/>
  <c r="J35" i="1"/>
  <c r="E37" i="1"/>
  <c r="F37" i="1"/>
  <c r="G37" i="1"/>
  <c r="H37" i="1"/>
  <c r="I37" i="4"/>
  <c r="I37" i="1"/>
  <c r="J37" i="4"/>
  <c r="J37" i="1"/>
  <c r="E41" i="1"/>
  <c r="F41" i="1"/>
  <c r="G41" i="1"/>
  <c r="H41" i="1"/>
  <c r="I41" i="4"/>
  <c r="I41" i="1"/>
  <c r="J41" i="1"/>
  <c r="E42" i="1"/>
  <c r="F42" i="1"/>
  <c r="G42" i="1"/>
  <c r="H42" i="1"/>
  <c r="I42" i="4"/>
  <c r="I42" i="1"/>
  <c r="J42" i="1"/>
  <c r="E44" i="1"/>
  <c r="F44" i="1"/>
  <c r="G44" i="1"/>
  <c r="H44" i="1"/>
  <c r="I44" i="4"/>
  <c r="I44" i="1"/>
  <c r="J44" i="4"/>
  <c r="J44" i="1"/>
  <c r="F10" i="1"/>
  <c r="G10" i="1"/>
  <c r="H10" i="1"/>
  <c r="I10" i="1"/>
  <c r="J10" i="3"/>
  <c r="J10" i="4"/>
  <c r="J10" i="1"/>
  <c r="F9" i="1"/>
  <c r="G9" i="1"/>
  <c r="H9" i="1"/>
  <c r="I9" i="1"/>
  <c r="J9" i="1"/>
  <c r="K11" i="1"/>
  <c r="K12" i="1"/>
  <c r="K9" i="1"/>
  <c r="K10" i="4"/>
  <c r="K42" i="1"/>
  <c r="K22" i="1"/>
  <c r="K23" i="1"/>
  <c r="K21" i="1"/>
  <c r="K24" i="1"/>
  <c r="K35" i="1"/>
  <c r="K14" i="1"/>
  <c r="K15" i="1"/>
  <c r="K16" i="1"/>
  <c r="K13" i="1"/>
  <c r="K18" i="1"/>
  <c r="K37" i="1"/>
  <c r="K41" i="1"/>
  <c r="L42" i="1"/>
  <c r="L22" i="1"/>
  <c r="L23" i="1"/>
  <c r="L21" i="1"/>
  <c r="L24" i="1"/>
  <c r="L35" i="1"/>
  <c r="L14" i="1"/>
  <c r="L15" i="1"/>
  <c r="L16" i="1"/>
  <c r="L13" i="1"/>
  <c r="L11" i="1"/>
  <c r="L12" i="1"/>
  <c r="L9" i="1"/>
  <c r="L18" i="1"/>
  <c r="L37" i="1"/>
  <c r="L41" i="1"/>
  <c r="M42" i="1"/>
  <c r="M22" i="1"/>
  <c r="M23" i="1"/>
  <c r="M21" i="1"/>
  <c r="M24" i="1"/>
  <c r="M35" i="1"/>
  <c r="M14" i="1"/>
  <c r="M15" i="1"/>
  <c r="M16" i="1"/>
  <c r="M13" i="1"/>
  <c r="M11" i="1"/>
  <c r="M12" i="1"/>
  <c r="M9" i="1"/>
  <c r="M18" i="1"/>
  <c r="M37" i="1"/>
  <c r="M41" i="1"/>
  <c r="N42" i="1"/>
  <c r="N22" i="1"/>
  <c r="N23" i="1"/>
  <c r="N21" i="1"/>
  <c r="N24" i="1"/>
  <c r="N35" i="1"/>
  <c r="N14" i="1"/>
  <c r="N15" i="1"/>
  <c r="N16" i="1"/>
  <c r="N13" i="1"/>
  <c r="N11" i="1"/>
  <c r="N12" i="1"/>
  <c r="N9" i="1"/>
  <c r="N18" i="1"/>
  <c r="N37" i="1"/>
  <c r="N41" i="1"/>
  <c r="O42" i="1"/>
  <c r="O22" i="1"/>
  <c r="O23" i="1"/>
  <c r="O21" i="1"/>
  <c r="O24" i="1"/>
  <c r="O35" i="1"/>
  <c r="O14" i="1"/>
  <c r="O15" i="1"/>
  <c r="O16" i="1"/>
  <c r="O13" i="1"/>
  <c r="O11" i="1"/>
  <c r="O12" i="1"/>
  <c r="O9" i="1"/>
  <c r="O18" i="1"/>
  <c r="O37" i="1"/>
  <c r="O41" i="1"/>
  <c r="P42" i="1"/>
  <c r="P22" i="1"/>
  <c r="P23" i="1"/>
  <c r="P21" i="1"/>
  <c r="P24" i="1"/>
  <c r="P35" i="1"/>
  <c r="P14" i="1"/>
  <c r="P15" i="1"/>
  <c r="P16" i="1"/>
  <c r="P13" i="1"/>
  <c r="P11" i="1"/>
  <c r="P12" i="1"/>
  <c r="P9" i="1"/>
  <c r="P18" i="1"/>
  <c r="P37" i="1"/>
  <c r="P41" i="1"/>
  <c r="Q42" i="1"/>
  <c r="Q22" i="1"/>
  <c r="Q23" i="1"/>
  <c r="Q21" i="1"/>
  <c r="Q24" i="1"/>
  <c r="Q35" i="1"/>
  <c r="Q14" i="1"/>
  <c r="Q15" i="1"/>
  <c r="Q16" i="1"/>
  <c r="Q13" i="1"/>
  <c r="Q11" i="1"/>
  <c r="Q12" i="1"/>
  <c r="Q9" i="1"/>
  <c r="Q18" i="1"/>
  <c r="Q37" i="1"/>
  <c r="Q41" i="1"/>
  <c r="Q56" i="1"/>
  <c r="M42" i="3"/>
  <c r="M41" i="3"/>
  <c r="N42" i="3"/>
  <c r="N41" i="3"/>
  <c r="O42" i="3"/>
  <c r="O41" i="3"/>
  <c r="P42" i="3"/>
  <c r="P41" i="3"/>
  <c r="Q42" i="3"/>
  <c r="Q41" i="3"/>
  <c r="L41" i="3"/>
  <c r="L42" i="3"/>
  <c r="K42" i="3"/>
  <c r="K41" i="3"/>
  <c r="K9" i="4"/>
  <c r="K18" i="4"/>
  <c r="K26" i="4"/>
  <c r="K24" i="4"/>
  <c r="K35" i="4"/>
  <c r="K37" i="4"/>
  <c r="K44" i="4"/>
  <c r="K42" i="4"/>
  <c r="K41" i="4"/>
  <c r="L42" i="4"/>
  <c r="L26" i="4"/>
  <c r="L24" i="4"/>
  <c r="L35" i="4"/>
  <c r="L37" i="4"/>
  <c r="L41" i="4"/>
  <c r="M42" i="4"/>
  <c r="M26" i="4"/>
  <c r="M24" i="4"/>
  <c r="M35" i="4"/>
  <c r="M37" i="4"/>
  <c r="M41" i="4"/>
  <c r="N42" i="4"/>
  <c r="N26" i="4"/>
  <c r="N24" i="4"/>
  <c r="N35" i="4"/>
  <c r="N37" i="4"/>
  <c r="N41" i="4"/>
  <c r="O42" i="4"/>
  <c r="O26" i="4"/>
  <c r="O24" i="4"/>
  <c r="O35" i="4"/>
  <c r="O37" i="4"/>
  <c r="O41" i="4"/>
  <c r="P42" i="4"/>
  <c r="P26" i="4"/>
  <c r="P24" i="4"/>
  <c r="P35" i="4"/>
  <c r="P37" i="4"/>
  <c r="P41" i="4"/>
  <c r="P56" i="4"/>
  <c r="Q42" i="4"/>
  <c r="Q26" i="4"/>
  <c r="Q24" i="4"/>
  <c r="Q35" i="4"/>
  <c r="Q37" i="4"/>
  <c r="Q41" i="4"/>
  <c r="S41" i="4"/>
  <c r="F52" i="4"/>
  <c r="G52" i="4"/>
  <c r="H52" i="4"/>
  <c r="I52" i="4"/>
  <c r="K52" i="4"/>
  <c r="L52" i="4"/>
  <c r="M25" i="4"/>
  <c r="M52" i="4"/>
  <c r="N25" i="4"/>
  <c r="N52" i="4"/>
  <c r="O25" i="4"/>
  <c r="O52" i="4"/>
  <c r="P25" i="4"/>
  <c r="P52" i="4"/>
  <c r="Q25" i="4"/>
  <c r="Q52" i="4"/>
  <c r="L54" i="4"/>
  <c r="M54" i="4"/>
  <c r="N54" i="4"/>
  <c r="O54" i="4"/>
  <c r="P54" i="4"/>
  <c r="Q54" i="4"/>
  <c r="Q57" i="4"/>
  <c r="P57" i="4"/>
  <c r="O57" i="4"/>
  <c r="N57" i="4"/>
  <c r="M57" i="4"/>
  <c r="K57" i="4"/>
  <c r="L57" i="4"/>
  <c r="I57" i="4"/>
  <c r="H57" i="4"/>
  <c r="G57" i="4"/>
  <c r="F57" i="4"/>
  <c r="E57" i="4"/>
  <c r="Q21" i="4"/>
  <c r="L30" i="4"/>
  <c r="M30" i="4"/>
  <c r="N30" i="4"/>
  <c r="O30" i="4"/>
  <c r="P30" i="4"/>
  <c r="Q30" i="4"/>
  <c r="L31" i="4"/>
  <c r="M31" i="4"/>
  <c r="N31" i="4"/>
  <c r="O31" i="4"/>
  <c r="P31" i="4"/>
  <c r="Q31" i="4"/>
  <c r="L32" i="4"/>
  <c r="M32" i="4"/>
  <c r="N32" i="4"/>
  <c r="O32" i="4"/>
  <c r="P32" i="4"/>
  <c r="Q32" i="4"/>
  <c r="L33" i="4"/>
  <c r="M33" i="4"/>
  <c r="N33" i="4"/>
  <c r="O33" i="4"/>
  <c r="P33" i="4"/>
  <c r="Q33" i="4"/>
  <c r="Q29" i="4"/>
  <c r="Q9" i="4"/>
  <c r="L14" i="4"/>
  <c r="M14" i="4"/>
  <c r="N14" i="4"/>
  <c r="O14" i="4"/>
  <c r="P14" i="4"/>
  <c r="Q14" i="4"/>
  <c r="O15" i="4"/>
  <c r="P15" i="4"/>
  <c r="Q15" i="4"/>
  <c r="Q13" i="4"/>
  <c r="Q18" i="4"/>
  <c r="P21" i="4"/>
  <c r="P29" i="4"/>
  <c r="P9" i="4"/>
  <c r="P13" i="4"/>
  <c r="P18" i="4"/>
  <c r="O21" i="4"/>
  <c r="O29" i="4"/>
  <c r="O9" i="4"/>
  <c r="O13" i="4"/>
  <c r="O18" i="4"/>
  <c r="N21" i="4"/>
  <c r="N29" i="4"/>
  <c r="N9" i="4"/>
  <c r="N13" i="4"/>
  <c r="N18" i="4"/>
  <c r="M21" i="4"/>
  <c r="M29" i="4"/>
  <c r="M9" i="4"/>
  <c r="M13" i="4"/>
  <c r="M18" i="4"/>
  <c r="L21" i="4"/>
  <c r="L29" i="4"/>
  <c r="L9" i="4"/>
  <c r="L13" i="4"/>
  <c r="L18" i="4"/>
  <c r="K21" i="4"/>
  <c r="K29" i="4"/>
  <c r="K13" i="4"/>
  <c r="Q56" i="4"/>
  <c r="O56" i="4"/>
  <c r="N56" i="4"/>
  <c r="M56" i="4"/>
  <c r="K56" i="4"/>
  <c r="L56" i="4"/>
  <c r="I56" i="4"/>
  <c r="H56" i="4"/>
  <c r="G56" i="4"/>
  <c r="F56" i="4"/>
  <c r="E56" i="4"/>
  <c r="E48" i="4"/>
  <c r="F48" i="4"/>
  <c r="G48" i="4"/>
  <c r="H48" i="4"/>
  <c r="I48" i="4"/>
  <c r="K48" i="4"/>
  <c r="L48" i="4"/>
  <c r="M48" i="4"/>
  <c r="N48" i="4"/>
  <c r="O48" i="4"/>
  <c r="P48" i="4"/>
  <c r="Q48" i="4"/>
  <c r="Q55" i="4"/>
  <c r="P55" i="4"/>
  <c r="O55" i="4"/>
  <c r="N55" i="4"/>
  <c r="M55" i="4"/>
  <c r="K55" i="4"/>
  <c r="L55" i="4"/>
  <c r="I55" i="4"/>
  <c r="H55" i="4"/>
  <c r="G55" i="4"/>
  <c r="F55" i="4"/>
  <c r="E55" i="4"/>
  <c r="E44" i="4"/>
  <c r="E53" i="4"/>
  <c r="F44" i="4"/>
  <c r="F53" i="4"/>
  <c r="G44" i="4"/>
  <c r="G53" i="4"/>
  <c r="H44" i="4"/>
  <c r="H53" i="4"/>
  <c r="I53" i="4"/>
  <c r="K53" i="4"/>
  <c r="L44" i="4"/>
  <c r="L53" i="4"/>
  <c r="M44" i="4"/>
  <c r="M53" i="4"/>
  <c r="N44" i="4"/>
  <c r="N53" i="4"/>
  <c r="O44" i="4"/>
  <c r="O53" i="4"/>
  <c r="P44" i="4"/>
  <c r="P53" i="4"/>
  <c r="Q44" i="4"/>
  <c r="Q53" i="4"/>
  <c r="E51" i="4"/>
  <c r="F51" i="4"/>
  <c r="G51" i="4"/>
  <c r="H51" i="4"/>
  <c r="I51" i="4"/>
  <c r="K51" i="4"/>
  <c r="L51" i="4"/>
  <c r="M51" i="4"/>
  <c r="N51" i="4"/>
  <c r="O51" i="4"/>
  <c r="P51" i="4"/>
  <c r="Q51" i="4"/>
  <c r="E49" i="4"/>
  <c r="F49" i="4"/>
  <c r="G49" i="4"/>
  <c r="H49" i="4"/>
  <c r="I49" i="4"/>
  <c r="I50" i="4"/>
  <c r="K50" i="4"/>
  <c r="L50" i="4"/>
  <c r="M50" i="4"/>
  <c r="N50" i="4"/>
  <c r="O50" i="4"/>
  <c r="P50" i="4"/>
  <c r="Q50" i="4"/>
  <c r="H50" i="4"/>
  <c r="G50" i="4"/>
  <c r="F50" i="4"/>
  <c r="E50" i="4"/>
  <c r="K49" i="4"/>
  <c r="L49" i="4"/>
  <c r="M49" i="4"/>
  <c r="N49" i="4"/>
  <c r="O49" i="4"/>
  <c r="P49" i="4"/>
  <c r="Q49" i="4"/>
  <c r="R44" i="4"/>
  <c r="J43" i="4"/>
  <c r="J40" i="4"/>
  <c r="J39" i="4"/>
  <c r="J38" i="4"/>
  <c r="R37" i="4"/>
  <c r="E21" i="4"/>
  <c r="E24" i="4"/>
  <c r="E29" i="4"/>
  <c r="E35" i="4"/>
  <c r="E9" i="4"/>
  <c r="E13" i="4"/>
  <c r="E18" i="4"/>
  <c r="E37" i="4"/>
  <c r="F21" i="4"/>
  <c r="F24" i="4"/>
  <c r="F29" i="4"/>
  <c r="F35" i="4"/>
  <c r="F9" i="4"/>
  <c r="F13" i="4"/>
  <c r="F18" i="4"/>
  <c r="F37" i="4"/>
  <c r="G21" i="4"/>
  <c r="G24" i="4"/>
  <c r="G29" i="4"/>
  <c r="G35" i="4"/>
  <c r="G9" i="4"/>
  <c r="G13" i="4"/>
  <c r="G18" i="4"/>
  <c r="G37" i="4"/>
  <c r="H21" i="4"/>
  <c r="H24" i="4"/>
  <c r="H29" i="4"/>
  <c r="H35" i="4"/>
  <c r="H9" i="4"/>
  <c r="H13" i="4"/>
  <c r="H18" i="4"/>
  <c r="H37" i="4"/>
  <c r="R36" i="4"/>
  <c r="J36" i="4"/>
  <c r="R35" i="4"/>
  <c r="R34" i="4"/>
  <c r="J34" i="4"/>
  <c r="R33" i="4"/>
  <c r="R32" i="4"/>
  <c r="R31" i="4"/>
  <c r="J31" i="4"/>
  <c r="R30" i="4"/>
  <c r="J30" i="4"/>
  <c r="R29" i="4"/>
  <c r="R28" i="4"/>
  <c r="J28" i="4"/>
  <c r="R27" i="4"/>
  <c r="J27" i="4"/>
  <c r="R26" i="4"/>
  <c r="R25" i="4"/>
  <c r="S24" i="4"/>
  <c r="R13" i="4"/>
  <c r="S13" i="4"/>
  <c r="S25" i="4"/>
  <c r="J25" i="4"/>
  <c r="R24" i="4"/>
  <c r="R23" i="4"/>
  <c r="R22" i="4"/>
  <c r="J22" i="4"/>
  <c r="R21" i="4"/>
  <c r="R20" i="4"/>
  <c r="J20" i="4"/>
  <c r="R19" i="4"/>
  <c r="J19" i="4"/>
  <c r="S18" i="4"/>
  <c r="R18" i="4"/>
  <c r="R17" i="4"/>
  <c r="J17" i="4"/>
  <c r="R16" i="4"/>
  <c r="R15" i="4"/>
  <c r="R14" i="4"/>
  <c r="R12" i="4"/>
  <c r="R11" i="4"/>
  <c r="R10" i="4"/>
  <c r="R9" i="4"/>
  <c r="J9" i="4"/>
  <c r="L8" i="4"/>
  <c r="M8" i="4"/>
  <c r="N8" i="4"/>
  <c r="O8" i="4"/>
  <c r="E52" i="3"/>
  <c r="F52" i="3"/>
  <c r="G52" i="3"/>
  <c r="H52" i="3"/>
  <c r="I52" i="3"/>
  <c r="K52" i="3"/>
  <c r="L52" i="3"/>
  <c r="M52" i="3"/>
  <c r="N26" i="3"/>
  <c r="N52" i="3"/>
  <c r="O26" i="3"/>
  <c r="O52" i="3"/>
  <c r="P26" i="3"/>
  <c r="P52" i="3"/>
  <c r="Q26" i="3"/>
  <c r="Q52" i="3"/>
  <c r="Q57" i="3"/>
  <c r="P57" i="3"/>
  <c r="O57" i="3"/>
  <c r="N57" i="3"/>
  <c r="M57" i="3"/>
  <c r="K57" i="3"/>
  <c r="L57" i="3"/>
  <c r="I57" i="3"/>
  <c r="H57" i="3"/>
  <c r="G57" i="3"/>
  <c r="F57" i="3"/>
  <c r="E57" i="3"/>
  <c r="L21" i="3"/>
  <c r="L24" i="3"/>
  <c r="L35" i="3"/>
  <c r="L13" i="3"/>
  <c r="L9" i="3"/>
  <c r="L18" i="3"/>
  <c r="L37" i="3"/>
  <c r="M21" i="3"/>
  <c r="M24" i="3"/>
  <c r="M35" i="3"/>
  <c r="M13" i="3"/>
  <c r="M9" i="3"/>
  <c r="M18" i="3"/>
  <c r="M37" i="3"/>
  <c r="N21" i="3"/>
  <c r="N24" i="3"/>
  <c r="N35" i="3"/>
  <c r="N13" i="3"/>
  <c r="N9" i="3"/>
  <c r="N18" i="3"/>
  <c r="N37" i="3"/>
  <c r="O21" i="3"/>
  <c r="O24" i="3"/>
  <c r="O35" i="3"/>
  <c r="O13" i="3"/>
  <c r="O9" i="3"/>
  <c r="O18" i="3"/>
  <c r="O37" i="3"/>
  <c r="P21" i="3"/>
  <c r="P24" i="3"/>
  <c r="P35" i="3"/>
  <c r="P13" i="3"/>
  <c r="P9" i="3"/>
  <c r="P18" i="3"/>
  <c r="P37" i="3"/>
  <c r="Q56" i="3"/>
  <c r="P56" i="3"/>
  <c r="O56" i="3"/>
  <c r="N56" i="3"/>
  <c r="M56" i="3"/>
  <c r="K56" i="3"/>
  <c r="L56" i="3"/>
  <c r="I56" i="3"/>
  <c r="H56" i="3"/>
  <c r="G56" i="3"/>
  <c r="F56" i="3"/>
  <c r="E56" i="3"/>
  <c r="E48" i="3"/>
  <c r="F48" i="3"/>
  <c r="G48" i="3"/>
  <c r="H48" i="3"/>
  <c r="I48" i="3"/>
  <c r="K48" i="3"/>
  <c r="L48" i="3"/>
  <c r="M48" i="3"/>
  <c r="N48" i="3"/>
  <c r="O48" i="3"/>
  <c r="P48" i="3"/>
  <c r="Q48" i="3"/>
  <c r="Q55" i="3"/>
  <c r="P55" i="3"/>
  <c r="O55" i="3"/>
  <c r="N55" i="3"/>
  <c r="M55" i="3"/>
  <c r="K55" i="3"/>
  <c r="L55" i="3"/>
  <c r="I55" i="3"/>
  <c r="H55" i="3"/>
  <c r="G55" i="3"/>
  <c r="F55" i="3"/>
  <c r="E55" i="3"/>
  <c r="E44" i="3"/>
  <c r="E53" i="3"/>
  <c r="F44" i="3"/>
  <c r="F53" i="3"/>
  <c r="G44" i="3"/>
  <c r="G53" i="3"/>
  <c r="H44" i="3"/>
  <c r="H53" i="3"/>
  <c r="I44" i="3"/>
  <c r="I53" i="3"/>
  <c r="K53" i="3"/>
  <c r="L44" i="3"/>
  <c r="L53" i="3"/>
  <c r="M44" i="3"/>
  <c r="M53" i="3"/>
  <c r="N44" i="3"/>
  <c r="N53" i="3"/>
  <c r="O44" i="3"/>
  <c r="O53" i="3"/>
  <c r="P44" i="3"/>
  <c r="P53" i="3"/>
  <c r="Q21" i="3"/>
  <c r="Q24" i="3"/>
  <c r="Q35" i="3"/>
  <c r="Q13" i="3"/>
  <c r="Q9" i="3"/>
  <c r="Q18" i="3"/>
  <c r="Q37" i="3"/>
  <c r="Q44" i="3"/>
  <c r="Q53" i="3"/>
  <c r="E51" i="3"/>
  <c r="F51" i="3"/>
  <c r="G51" i="3"/>
  <c r="H51" i="3"/>
  <c r="I51" i="3"/>
  <c r="K51" i="3"/>
  <c r="L51" i="3"/>
  <c r="M51" i="3"/>
  <c r="N51" i="3"/>
  <c r="O51" i="3"/>
  <c r="P51" i="3"/>
  <c r="Q51" i="3"/>
  <c r="E49" i="3"/>
  <c r="F49" i="3"/>
  <c r="G49" i="3"/>
  <c r="H49" i="3"/>
  <c r="I49" i="3"/>
  <c r="I50" i="3"/>
  <c r="K50" i="3"/>
  <c r="L50" i="3"/>
  <c r="M50" i="3"/>
  <c r="N50" i="3"/>
  <c r="O50" i="3"/>
  <c r="P50" i="3"/>
  <c r="Q50" i="3"/>
  <c r="J15" i="3"/>
  <c r="J49" i="3"/>
  <c r="J50" i="3"/>
  <c r="H50" i="3"/>
  <c r="G50" i="3"/>
  <c r="F50" i="3"/>
  <c r="E50" i="3"/>
  <c r="K49" i="3"/>
  <c r="L49" i="3"/>
  <c r="M49" i="3"/>
  <c r="N49" i="3"/>
  <c r="O49" i="3"/>
  <c r="P49" i="3"/>
  <c r="Q49" i="3"/>
  <c r="R44" i="3"/>
  <c r="J44" i="3"/>
  <c r="J43" i="3"/>
  <c r="S41" i="3"/>
  <c r="J38" i="3"/>
  <c r="K21" i="3"/>
  <c r="K24" i="3"/>
  <c r="K35" i="3"/>
  <c r="K13" i="3"/>
  <c r="K9" i="3"/>
  <c r="K18" i="3"/>
  <c r="K37" i="3"/>
  <c r="R37" i="3"/>
  <c r="I24" i="3"/>
  <c r="I21" i="3"/>
  <c r="I35" i="3"/>
  <c r="I37" i="3"/>
  <c r="J37" i="3"/>
  <c r="R36" i="3"/>
  <c r="J36" i="3"/>
  <c r="R35" i="3"/>
  <c r="J35" i="3"/>
  <c r="R34" i="3"/>
  <c r="J34" i="3"/>
  <c r="R33" i="3"/>
  <c r="J33" i="3"/>
  <c r="R32" i="3"/>
  <c r="J32" i="3"/>
  <c r="R31" i="3"/>
  <c r="J31" i="3"/>
  <c r="R30" i="3"/>
  <c r="J30" i="3"/>
  <c r="K29" i="3"/>
  <c r="L29" i="3"/>
  <c r="M29" i="3"/>
  <c r="N29" i="3"/>
  <c r="O29" i="3"/>
  <c r="P29" i="3"/>
  <c r="Q29" i="3"/>
  <c r="R29" i="3"/>
  <c r="J29" i="3"/>
  <c r="R28" i="3"/>
  <c r="R27" i="3"/>
  <c r="J27" i="3"/>
  <c r="R26" i="3"/>
  <c r="J26" i="3"/>
  <c r="E24" i="3"/>
  <c r="F24" i="3"/>
  <c r="G24" i="3"/>
  <c r="H24" i="3"/>
  <c r="J24" i="3"/>
  <c r="R25" i="3"/>
  <c r="S24" i="3"/>
  <c r="I13" i="3"/>
  <c r="J13" i="3"/>
  <c r="R13" i="3"/>
  <c r="S13" i="3"/>
  <c r="S25" i="3"/>
  <c r="J25" i="3"/>
  <c r="R24" i="3"/>
  <c r="R23" i="3"/>
  <c r="J23" i="3"/>
  <c r="R22" i="3"/>
  <c r="J22" i="3"/>
  <c r="R21" i="3"/>
  <c r="E21" i="3"/>
  <c r="F21" i="3"/>
  <c r="G21" i="3"/>
  <c r="H21" i="3"/>
  <c r="J21" i="3"/>
  <c r="R20" i="3"/>
  <c r="J20" i="3"/>
  <c r="R19" i="3"/>
  <c r="S18" i="3"/>
  <c r="R18" i="3"/>
  <c r="J18" i="3"/>
  <c r="R17" i="3"/>
  <c r="J17" i="3"/>
  <c r="R16" i="3"/>
  <c r="J16" i="3"/>
  <c r="R15" i="3"/>
  <c r="R14" i="3"/>
  <c r="J14" i="3"/>
  <c r="T13" i="3"/>
  <c r="R12" i="3"/>
  <c r="J12" i="3"/>
  <c r="R11" i="3"/>
  <c r="J11" i="3"/>
  <c r="R10" i="3"/>
  <c r="R9" i="3"/>
  <c r="I9" i="3"/>
  <c r="J9" i="3"/>
  <c r="L8" i="3"/>
  <c r="M8" i="3"/>
  <c r="N8" i="3"/>
  <c r="O8" i="3"/>
  <c r="E48" i="1"/>
  <c r="F48" i="1"/>
  <c r="E55" i="1"/>
  <c r="E56" i="1"/>
  <c r="E52" i="1"/>
  <c r="E57" i="1"/>
  <c r="E53" i="1"/>
  <c r="R25" i="1"/>
  <c r="R26" i="1"/>
  <c r="S24" i="1"/>
  <c r="S41" i="1"/>
  <c r="R13" i="1"/>
  <c r="S13" i="1"/>
  <c r="S25" i="1"/>
  <c r="R24" i="1"/>
  <c r="R44" i="1"/>
  <c r="S18" i="1"/>
  <c r="T13" i="1"/>
  <c r="E51" i="1"/>
  <c r="M44" i="1"/>
  <c r="N44" i="1"/>
  <c r="O44" i="1"/>
  <c r="P44" i="1"/>
  <c r="Q44" i="1"/>
  <c r="K44" i="1"/>
  <c r="L44" i="1"/>
  <c r="R19" i="1"/>
  <c r="R20" i="1"/>
  <c r="R21" i="1"/>
  <c r="R22" i="1"/>
  <c r="R23" i="1"/>
  <c r="R27" i="1"/>
  <c r="K28" i="1"/>
  <c r="L28" i="1"/>
  <c r="M28" i="1"/>
  <c r="N28" i="1"/>
  <c r="O28" i="1"/>
  <c r="P28" i="1"/>
  <c r="Q28" i="1"/>
  <c r="R28" i="1"/>
  <c r="K29" i="1"/>
  <c r="L29" i="1"/>
  <c r="M29" i="1"/>
  <c r="N29" i="1"/>
  <c r="O29" i="1"/>
  <c r="P29" i="1"/>
  <c r="Q29" i="1"/>
  <c r="R29" i="1"/>
  <c r="K30" i="1"/>
  <c r="L30" i="1"/>
  <c r="M30" i="1"/>
  <c r="N30" i="1"/>
  <c r="O30" i="1"/>
  <c r="P30" i="1"/>
  <c r="Q30" i="1"/>
  <c r="R30" i="1"/>
  <c r="K31" i="1"/>
  <c r="L31" i="1"/>
  <c r="M31" i="1"/>
  <c r="N31" i="1"/>
  <c r="O31" i="1"/>
  <c r="P31" i="1"/>
  <c r="Q31" i="1"/>
  <c r="R31" i="1"/>
  <c r="K32" i="1"/>
  <c r="L32" i="1"/>
  <c r="M32" i="1"/>
  <c r="N32" i="1"/>
  <c r="O32" i="1"/>
  <c r="P32" i="1"/>
  <c r="Q32" i="1"/>
  <c r="R32" i="1"/>
  <c r="K33" i="1"/>
  <c r="L33" i="1"/>
  <c r="M33" i="1"/>
  <c r="N33" i="1"/>
  <c r="O33" i="1"/>
  <c r="P33" i="1"/>
  <c r="Q33" i="1"/>
  <c r="R33" i="1"/>
  <c r="R34" i="1"/>
  <c r="R35" i="1"/>
  <c r="R36" i="1"/>
  <c r="R37" i="1"/>
  <c r="R14" i="1"/>
  <c r="R15" i="1"/>
  <c r="R16" i="1"/>
  <c r="R17" i="1"/>
  <c r="R9" i="1"/>
  <c r="R10" i="1"/>
  <c r="R11" i="1"/>
  <c r="R12" i="1"/>
  <c r="R18" i="1"/>
  <c r="F52" i="1"/>
  <c r="G52" i="1"/>
  <c r="H52" i="1"/>
  <c r="P57" i="1"/>
  <c r="O57" i="1"/>
  <c r="N57" i="1"/>
  <c r="M57" i="1"/>
  <c r="K57" i="1"/>
  <c r="L57" i="1"/>
  <c r="I57" i="1"/>
  <c r="H57" i="1"/>
  <c r="G57" i="1"/>
  <c r="F57" i="1"/>
  <c r="P56" i="1"/>
  <c r="O56" i="1"/>
  <c r="N56" i="1"/>
  <c r="M56" i="1"/>
  <c r="K56" i="1"/>
  <c r="L56" i="1"/>
  <c r="I56" i="1"/>
  <c r="H56" i="1"/>
  <c r="G56" i="1"/>
  <c r="F56" i="1"/>
  <c r="G48" i="1"/>
  <c r="H48" i="1"/>
  <c r="I48" i="1"/>
  <c r="K48" i="1"/>
  <c r="L48" i="1"/>
  <c r="M48" i="1"/>
  <c r="N48" i="1"/>
  <c r="O48" i="1"/>
  <c r="P48" i="1"/>
  <c r="Q48" i="1"/>
  <c r="Q55" i="1"/>
  <c r="P55" i="1"/>
  <c r="O55" i="1"/>
  <c r="N55" i="1"/>
  <c r="M55" i="1"/>
  <c r="K55" i="1"/>
  <c r="L55" i="1"/>
  <c r="I55" i="1"/>
  <c r="H55" i="1"/>
  <c r="G55" i="1"/>
  <c r="F55" i="1"/>
  <c r="F53" i="1"/>
  <c r="G53" i="1"/>
  <c r="H53" i="1"/>
  <c r="I53" i="1"/>
  <c r="K53" i="1"/>
  <c r="L53" i="1"/>
  <c r="M53" i="1"/>
  <c r="N53" i="1"/>
  <c r="O53" i="1"/>
  <c r="P53" i="1"/>
  <c r="Q53" i="1"/>
  <c r="F51" i="1"/>
  <c r="G51" i="1"/>
  <c r="H51" i="1"/>
  <c r="I51" i="1"/>
  <c r="K51" i="1"/>
  <c r="L51" i="1"/>
  <c r="M51" i="1"/>
  <c r="N51" i="1"/>
  <c r="O51" i="1"/>
  <c r="P51" i="1"/>
  <c r="Q51" i="1"/>
  <c r="E49" i="1"/>
  <c r="F49" i="1"/>
  <c r="G49" i="1"/>
  <c r="H49" i="1"/>
  <c r="I49" i="1"/>
  <c r="I50" i="1"/>
  <c r="K50" i="1"/>
  <c r="L50" i="1"/>
  <c r="M50" i="1"/>
  <c r="N50" i="1"/>
  <c r="O50" i="1"/>
  <c r="P50" i="1"/>
  <c r="Q50" i="1"/>
  <c r="H50" i="1"/>
  <c r="G50" i="1"/>
  <c r="F50" i="1"/>
  <c r="E50" i="1"/>
  <c r="K49" i="1"/>
  <c r="L49" i="1"/>
  <c r="M49" i="1"/>
  <c r="N49" i="1"/>
  <c r="O49" i="1"/>
  <c r="P49" i="1"/>
  <c r="Q49" i="1"/>
  <c r="L8" i="1"/>
  <c r="M8" i="1"/>
  <c r="N8" i="1"/>
  <c r="O8" i="1"/>
</calcChain>
</file>

<file path=xl/comments1.xml><?xml version="1.0" encoding="utf-8"?>
<comments xmlns="http://schemas.openxmlformats.org/spreadsheetml/2006/main">
  <authors>
    <author>Sallinen Jussi</author>
  </authors>
  <commentList>
    <comment ref="S24" authorId="0" shapeId="0">
      <text>
        <r>
          <rPr>
            <b/>
            <sz val="9"/>
            <color indexed="81"/>
            <rFont val="Tahoma"/>
            <family val="2"/>
          </rPr>
          <t>Sallinen Jussi:</t>
        </r>
        <r>
          <rPr>
            <sz val="9"/>
            <color indexed="81"/>
            <rFont val="Tahoma"/>
            <family val="2"/>
          </rPr>
          <t xml:space="preserve">
Valtimolla ei lainaa vuoden 2013 lopussa</t>
        </r>
      </text>
    </comment>
  </commentList>
</comments>
</file>

<file path=xl/sharedStrings.xml><?xml version="1.0" encoding="utf-8"?>
<sst xmlns="http://schemas.openxmlformats.org/spreadsheetml/2006/main" count="349" uniqueCount="54">
  <si>
    <t/>
  </si>
  <si>
    <t>TOIMINNAN RAHAVIRTA</t>
  </si>
  <si>
    <t>VUOSIKATE</t>
  </si>
  <si>
    <t>SATUNNAISET ERÄT</t>
  </si>
  <si>
    <t>TULORAHOITUKSEN KORJAUSERÄT</t>
  </si>
  <si>
    <t>INVESTOINTIEN  RAHAVIRTA</t>
  </si>
  <si>
    <t>INVESTOINTIMENOT</t>
  </si>
  <si>
    <t>RAHOITUSOSUUDET INVESTOINTIMENOIHIN</t>
  </si>
  <si>
    <t>PYSYVIEN VASTAAVIEN HYÖDYKKEIDEN LUOVUTUSTULOT</t>
  </si>
  <si>
    <t>TOIMINNAN JA INVESTOINTIEN RAHAVIRTA</t>
  </si>
  <si>
    <t>RAHOITUKSEN RAHAVIRTA</t>
  </si>
  <si>
    <t>ANTOLAINAUKSEN MUUTOKSET</t>
  </si>
  <si>
    <t>ANTOLAINASAAMISTEN LISÄYS</t>
  </si>
  <si>
    <t>ANTOLAINASAAMISTEN VÄHENNYS</t>
  </si>
  <si>
    <t>LAINAKANNAN MUUTOKSET</t>
  </si>
  <si>
    <t>PITKÄAIKAISTEN LAINOJEN LISÄYS</t>
  </si>
  <si>
    <t>PITKÄAIKAISTEN LAINOJEN VÄHENNYS</t>
  </si>
  <si>
    <t>LYHYTAIKAISTEN LAINOJEN MUUTOS</t>
  </si>
  <si>
    <t>OMAN PÄÄOMAN MUUTOKSET</t>
  </si>
  <si>
    <t>MUUT MAKSUVALMIUDEN MUUTOKSET</t>
  </si>
  <si>
    <t>TOIMEKSIANTOJEN VAROJEN JA PÄÄOMIEN MUUTOKSET</t>
  </si>
  <si>
    <t>VAIHTO-OMAISUUDEN MUUTOS</t>
  </si>
  <si>
    <t>SAAMISTEN MUUTOS</t>
  </si>
  <si>
    <t xml:space="preserve">KOROTTOMIEN VELKOJEN MUUTOS </t>
  </si>
  <si>
    <t>RAHAVAROJEN MUUTOS</t>
  </si>
  <si>
    <t>Rahavarojen muutos</t>
  </si>
  <si>
    <t>Rahavarat 31.12</t>
  </si>
  <si>
    <t>Rahavarat 1.1</t>
  </si>
  <si>
    <t>INVESTOINNIT KUM.</t>
  </si>
  <si>
    <t>RAHOITUSOSUUDET KUM.</t>
  </si>
  <si>
    <t>NETTOINVESTOINNIT KUM.</t>
  </si>
  <si>
    <t>OTETUT LAINAT KUM.</t>
  </si>
  <si>
    <t>LAINAA JÄLJELLÄ</t>
  </si>
  <si>
    <t>KASSARAHOITUS</t>
  </si>
  <si>
    <t>ASUKASLUKU</t>
  </si>
  <si>
    <t>INVESTOINNIT/ASUKAS</t>
  </si>
  <si>
    <t>KASSAVARAT/ASUKAS</t>
  </si>
  <si>
    <t>LAINAT/ASUKAS</t>
  </si>
  <si>
    <t>Lainakanta vuoden 2013 lopussa</t>
  </si>
  <si>
    <t>2018 RD 21.1.2019</t>
  </si>
  <si>
    <t>YHTEENSÄ</t>
  </si>
  <si>
    <t>YHTEENSÄ 2019-2025</t>
  </si>
  <si>
    <t>V.2014-2025</t>
  </si>
  <si>
    <t>LAINAA YHT. 2025</t>
  </si>
  <si>
    <t>10v lyhennys</t>
  </si>
  <si>
    <t>PER ASUKAS</t>
  </si>
  <si>
    <t>VALTIMO KUNTA</t>
  </si>
  <si>
    <t>RAHOITUSLASKELMA</t>
  </si>
  <si>
    <t>-</t>
  </si>
  <si>
    <t xml:space="preserve"> </t>
  </si>
  <si>
    <t>2018 RD 19.1.2019</t>
  </si>
  <si>
    <t>20v lyhennys</t>
  </si>
  <si>
    <t>Valtimo lainat 2013 lopussa</t>
  </si>
  <si>
    <t>Nurmes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</si>
</sst>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#,##0_ ;\-#,##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sz val="11"/>
      <color rgb="FFFF0000"/>
      <name val="Calibri"/>
      <family val="2"/>
    </font>
    <font>
      <b/>
      <sz val="11"/>
      <name val="Calibri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b/>
      <sz val="11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4">
    <xf numFmtId="0" fontId="0" fillId="0" borderId="0" xfId="0"/>
    <xf numFmtId="0" fontId="3" fillId="0" borderId="1" xfId="3" applyNumberFormat="1" applyFont="1" applyFill="1" applyBorder="1" applyAlignment="1">
      <alignment vertical="top" wrapText="1" readingOrder="1"/>
    </xf>
    <xf numFmtId="0" fontId="6" fillId="0" borderId="1" xfId="3" applyNumberFormat="1" applyFont="1" applyFill="1" applyBorder="1" applyAlignment="1">
      <alignment vertical="top" wrapText="1" readingOrder="1"/>
    </xf>
    <xf numFmtId="0" fontId="5" fillId="0" borderId="1" xfId="3" applyNumberFormat="1" applyFont="1" applyFill="1" applyBorder="1" applyAlignment="1">
      <alignment vertical="top" wrapText="1" readingOrder="1"/>
    </xf>
    <xf numFmtId="0" fontId="5" fillId="0" borderId="1" xfId="3" applyNumberFormat="1" applyFont="1" applyFill="1" applyBorder="1" applyAlignment="1">
      <alignment horizontal="left" vertical="top" wrapText="1" readingOrder="1"/>
    </xf>
    <xf numFmtId="0" fontId="4" fillId="0" borderId="0" xfId="0" applyFont="1" applyFill="1" applyBorder="1"/>
    <xf numFmtId="164" fontId="4" fillId="0" borderId="0" xfId="1" applyNumberFormat="1" applyFont="1" applyFill="1" applyBorder="1"/>
    <xf numFmtId="43" fontId="4" fillId="0" borderId="0" xfId="1" applyNumberFormat="1" applyFont="1" applyFill="1" applyBorder="1"/>
    <xf numFmtId="3" fontId="0" fillId="0" borderId="1" xfId="0" applyNumberFormat="1" applyBorder="1"/>
    <xf numFmtId="3" fontId="3" fillId="0" borderId="1" xfId="3" applyNumberFormat="1" applyFont="1" applyFill="1" applyBorder="1" applyAlignment="1">
      <alignment vertical="top" wrapText="1" readingOrder="1"/>
    </xf>
    <xf numFmtId="3" fontId="5" fillId="0" borderId="1" xfId="1" applyNumberFormat="1" applyFont="1" applyFill="1" applyBorder="1" applyAlignment="1">
      <alignment horizontal="right" vertical="top" wrapText="1" readingOrder="1"/>
    </xf>
    <xf numFmtId="3" fontId="5" fillId="0" borderId="1" xfId="1" applyNumberFormat="1" applyFont="1" applyFill="1" applyBorder="1" applyAlignment="1">
      <alignment horizontal="center" vertical="top" wrapText="1" readingOrder="1"/>
    </xf>
    <xf numFmtId="3" fontId="6" fillId="0" borderId="1" xfId="3" applyNumberFormat="1" applyFont="1" applyFill="1" applyBorder="1" applyAlignment="1">
      <alignment vertical="top" wrapText="1" readingOrder="1"/>
    </xf>
    <xf numFmtId="3" fontId="5" fillId="0" borderId="1" xfId="3" applyNumberFormat="1" applyFont="1" applyFill="1" applyBorder="1" applyAlignment="1">
      <alignment vertical="top" wrapText="1" readingOrder="1"/>
    </xf>
    <xf numFmtId="3" fontId="5" fillId="0" borderId="1" xfId="3" applyNumberFormat="1" applyFont="1" applyFill="1" applyBorder="1" applyAlignment="1">
      <alignment horizontal="left" vertical="top" wrapText="1" readingOrder="1"/>
    </xf>
    <xf numFmtId="3" fontId="4" fillId="0" borderId="1" xfId="0" applyNumberFormat="1" applyFont="1" applyFill="1" applyBorder="1"/>
    <xf numFmtId="3" fontId="4" fillId="0" borderId="1" xfId="0" applyNumberFormat="1" applyFont="1" applyFill="1" applyBorder="1" applyAlignment="1"/>
    <xf numFmtId="3" fontId="4" fillId="0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/>
    <xf numFmtId="43" fontId="4" fillId="0" borderId="0" xfId="1" applyFont="1" applyFill="1" applyBorder="1"/>
    <xf numFmtId="164" fontId="4" fillId="0" borderId="0" xfId="2" applyNumberFormat="1" applyFont="1" applyFill="1" applyBorder="1"/>
    <xf numFmtId="9" fontId="4" fillId="0" borderId="0" xfId="2" applyFont="1" applyFill="1" applyBorder="1"/>
    <xf numFmtId="49" fontId="5" fillId="0" borderId="1" xfId="1" applyNumberFormat="1" applyFont="1" applyFill="1" applyBorder="1" applyAlignment="1">
      <alignment horizontal="right" vertical="top" wrapText="1" readingOrder="1"/>
    </xf>
    <xf numFmtId="0" fontId="4" fillId="0" borderId="0" xfId="4" applyFont="1" applyFill="1" applyBorder="1"/>
    <xf numFmtId="43" fontId="4" fillId="0" borderId="0" xfId="5" applyNumberFormat="1" applyFont="1" applyFill="1" applyBorder="1"/>
    <xf numFmtId="0" fontId="9" fillId="0" borderId="0" xfId="4" applyFont="1" applyFill="1" applyBorder="1"/>
    <xf numFmtId="164" fontId="4" fillId="0" borderId="0" xfId="5" applyNumberFormat="1" applyFont="1" applyFill="1" applyBorder="1"/>
    <xf numFmtId="0" fontId="5" fillId="0" borderId="1" xfId="5" applyNumberFormat="1" applyFont="1" applyFill="1" applyBorder="1" applyAlignment="1">
      <alignment horizontal="right" vertical="top" wrapText="1" readingOrder="1"/>
    </xf>
    <xf numFmtId="43" fontId="5" fillId="0" borderId="1" xfId="5" applyNumberFormat="1" applyFont="1" applyFill="1" applyBorder="1" applyAlignment="1">
      <alignment horizontal="right" vertical="top" wrapText="1" readingOrder="1"/>
    </xf>
    <xf numFmtId="164" fontId="5" fillId="0" borderId="1" xfId="5" applyNumberFormat="1" applyFont="1" applyFill="1" applyBorder="1" applyAlignment="1">
      <alignment horizontal="center" vertical="top" wrapText="1" readingOrder="1"/>
    </xf>
    <xf numFmtId="164" fontId="6" fillId="0" borderId="1" xfId="5" applyNumberFormat="1" applyFont="1" applyFill="1" applyBorder="1" applyAlignment="1">
      <alignment vertical="top" wrapText="1" readingOrder="1"/>
    </xf>
    <xf numFmtId="164" fontId="6" fillId="2" borderId="1" xfId="5" applyNumberFormat="1" applyFont="1" applyFill="1" applyBorder="1" applyAlignment="1">
      <alignment vertical="top" wrapText="1" readingOrder="1"/>
    </xf>
    <xf numFmtId="10" fontId="4" fillId="0" borderId="0" xfId="6" applyNumberFormat="1" applyFont="1" applyFill="1" applyBorder="1"/>
    <xf numFmtId="164" fontId="4" fillId="0" borderId="0" xfId="4" applyNumberFormat="1" applyFont="1" applyFill="1" applyBorder="1"/>
    <xf numFmtId="164" fontId="11" fillId="0" borderId="1" xfId="5" applyNumberFormat="1" applyFont="1" applyFill="1" applyBorder="1" applyAlignment="1">
      <alignment vertical="top" wrapText="1" readingOrder="1"/>
    </xf>
    <xf numFmtId="164" fontId="7" fillId="0" borderId="1" xfId="5" applyNumberFormat="1" applyFont="1" applyFill="1" applyBorder="1" applyAlignment="1">
      <alignment vertical="top" wrapText="1" readingOrder="1"/>
    </xf>
    <xf numFmtId="164" fontId="10" fillId="0" borderId="1" xfId="5" applyNumberFormat="1" applyFont="1" applyFill="1" applyBorder="1" applyAlignment="1">
      <alignment horizontal="center" vertical="top" wrapText="1" readingOrder="1"/>
    </xf>
    <xf numFmtId="164" fontId="5" fillId="0" borderId="1" xfId="5" applyNumberFormat="1" applyFont="1" applyFill="1" applyBorder="1" applyAlignment="1">
      <alignment vertical="top" wrapText="1" readingOrder="1"/>
    </xf>
    <xf numFmtId="164" fontId="5" fillId="0" borderId="1" xfId="5" applyNumberFormat="1" applyFont="1" applyFill="1" applyBorder="1" applyAlignment="1">
      <alignment horizontal="right" vertical="top" wrapText="1" readingOrder="1"/>
    </xf>
    <xf numFmtId="43" fontId="4" fillId="0" borderId="0" xfId="5" applyFont="1" applyFill="1" applyBorder="1"/>
    <xf numFmtId="164" fontId="4" fillId="0" borderId="0" xfId="6" applyNumberFormat="1" applyFont="1" applyFill="1" applyBorder="1"/>
    <xf numFmtId="164" fontId="6" fillId="3" borderId="1" xfId="5" applyNumberFormat="1" applyFont="1" applyFill="1" applyBorder="1" applyAlignment="1">
      <alignment horizontal="center" vertical="top" wrapText="1" readingOrder="1"/>
    </xf>
    <xf numFmtId="164" fontId="5" fillId="3" borderId="1" xfId="5" applyNumberFormat="1" applyFont="1" applyFill="1" applyBorder="1" applyAlignment="1">
      <alignment horizontal="center" vertical="top" wrapText="1" readingOrder="1"/>
    </xf>
    <xf numFmtId="9" fontId="4" fillId="0" borderId="0" xfId="6" applyFont="1" applyFill="1" applyBorder="1"/>
    <xf numFmtId="164" fontId="6" fillId="3" borderId="1" xfId="5" applyNumberFormat="1" applyFont="1" applyFill="1" applyBorder="1" applyAlignment="1">
      <alignment vertical="top" wrapText="1" readingOrder="1"/>
    </xf>
    <xf numFmtId="0" fontId="4" fillId="0" borderId="1" xfId="4" applyFont="1" applyFill="1" applyBorder="1"/>
    <xf numFmtId="164" fontId="4" fillId="0" borderId="1" xfId="5" applyNumberFormat="1" applyFont="1" applyFill="1" applyBorder="1"/>
    <xf numFmtId="0" fontId="4" fillId="0" borderId="1" xfId="4" applyFont="1" applyFill="1" applyBorder="1" applyAlignment="1"/>
    <xf numFmtId="43" fontId="0" fillId="0" borderId="0" xfId="5" applyFont="1" applyBorder="1"/>
    <xf numFmtId="0" fontId="4" fillId="0" borderId="1" xfId="4" applyFont="1" applyFill="1" applyBorder="1" applyAlignment="1">
      <alignment horizontal="center"/>
    </xf>
    <xf numFmtId="164" fontId="8" fillId="0" borderId="0" xfId="5" applyNumberFormat="1" applyFont="1" applyFill="1" applyBorder="1"/>
    <xf numFmtId="164" fontId="6" fillId="4" borderId="1" xfId="5" applyNumberFormat="1" applyFont="1" applyFill="1" applyBorder="1" applyAlignment="1">
      <alignment horizontal="center" vertical="top" wrapText="1" readingOrder="1"/>
    </xf>
    <xf numFmtId="164" fontId="6" fillId="0" borderId="1" xfId="5" applyNumberFormat="1" applyFont="1" applyFill="1" applyBorder="1" applyAlignment="1">
      <alignment horizontal="center" vertical="top" wrapText="1" readingOrder="1"/>
    </xf>
    <xf numFmtId="164" fontId="6" fillId="5" borderId="1" xfId="5" applyNumberFormat="1" applyFont="1" applyFill="1" applyBorder="1" applyAlignment="1">
      <alignment horizontal="center" vertical="top" wrapText="1" readingOrder="1"/>
    </xf>
    <xf numFmtId="164" fontId="12" fillId="0" borderId="1" xfId="5" applyNumberFormat="1" applyFont="1" applyFill="1" applyBorder="1" applyAlignment="1">
      <alignment horizontal="center" vertical="top" wrapText="1" readingOrder="1"/>
    </xf>
    <xf numFmtId="164" fontId="6" fillId="4" borderId="1" xfId="5" applyNumberFormat="1" applyFont="1" applyFill="1" applyBorder="1" applyAlignment="1">
      <alignment vertical="top" wrapText="1" readingOrder="1"/>
    </xf>
    <xf numFmtId="164" fontId="6" fillId="5" borderId="1" xfId="5" applyNumberFormat="1" applyFont="1" applyFill="1" applyBorder="1" applyAlignment="1">
      <alignment vertical="top" wrapText="1" readingOrder="1"/>
    </xf>
    <xf numFmtId="165" fontId="0" fillId="0" borderId="1" xfId="1" applyNumberFormat="1" applyFont="1" applyBorder="1"/>
    <xf numFmtId="165" fontId="0" fillId="0" borderId="1" xfId="0" applyNumberFormat="1" applyBorder="1"/>
    <xf numFmtId="165" fontId="6" fillId="0" borderId="1" xfId="5" applyNumberFormat="1" applyFont="1" applyFill="1" applyBorder="1" applyAlignment="1">
      <alignment vertical="top" wrapText="1" readingOrder="1"/>
    </xf>
    <xf numFmtId="3" fontId="15" fillId="0" borderId="1" xfId="1" applyNumberFormat="1" applyFont="1" applyFill="1" applyBorder="1" applyAlignment="1">
      <alignment horizontal="center" vertical="top" wrapText="1" readingOrder="1"/>
    </xf>
    <xf numFmtId="3" fontId="16" fillId="0" borderId="1" xfId="0" applyNumberFormat="1" applyFont="1" applyBorder="1"/>
    <xf numFmtId="164" fontId="15" fillId="0" borderId="1" xfId="5" applyNumberFormat="1" applyFont="1" applyFill="1" applyBorder="1" applyAlignment="1">
      <alignment horizontal="center" vertical="top" wrapText="1" readingOrder="1"/>
    </xf>
    <xf numFmtId="164" fontId="15" fillId="0" borderId="1" xfId="5" applyNumberFormat="1" applyFont="1" applyFill="1" applyBorder="1" applyAlignment="1">
      <alignment vertical="top" wrapText="1" readingOrder="1"/>
    </xf>
    <xf numFmtId="164" fontId="15" fillId="0" borderId="1" xfId="5" applyNumberFormat="1" applyFont="1" applyFill="1" applyBorder="1" applyAlignment="1">
      <alignment horizontal="right" vertical="top" wrapText="1" readingOrder="1"/>
    </xf>
    <xf numFmtId="164" fontId="11" fillId="3" borderId="1" xfId="5" applyNumberFormat="1" applyFont="1" applyFill="1" applyBorder="1" applyAlignment="1">
      <alignment vertical="top" wrapText="1" readingOrder="1"/>
    </xf>
    <xf numFmtId="164" fontId="17" fillId="3" borderId="1" xfId="5" applyNumberFormat="1" applyFont="1" applyFill="1" applyBorder="1" applyAlignment="1">
      <alignment horizontal="center" vertical="top" wrapText="1" readingOrder="1"/>
    </xf>
    <xf numFmtId="164" fontId="11" fillId="3" borderId="1" xfId="5" applyNumberFormat="1" applyFont="1" applyFill="1" applyBorder="1" applyAlignment="1">
      <alignment horizontal="center" vertical="top" wrapText="1" readingOrder="1"/>
    </xf>
    <xf numFmtId="164" fontId="11" fillId="0" borderId="1" xfId="5" applyNumberFormat="1" applyFont="1" applyFill="1" applyBorder="1" applyAlignment="1">
      <alignment horizontal="center" vertical="top" wrapText="1" readingOrder="1"/>
    </xf>
    <xf numFmtId="3" fontId="5" fillId="0" borderId="1" xfId="3" applyNumberFormat="1" applyFont="1" applyFill="1" applyBorder="1" applyAlignment="1">
      <alignment vertical="top" wrapText="1" readingOrder="1"/>
    </xf>
    <xf numFmtId="3" fontId="4" fillId="0" borderId="1" xfId="0" applyNumberFormat="1" applyFont="1" applyFill="1" applyBorder="1"/>
    <xf numFmtId="3" fontId="6" fillId="0" borderId="1" xfId="3" applyNumberFormat="1" applyFont="1" applyFill="1" applyBorder="1" applyAlignment="1">
      <alignment vertical="top" wrapText="1" readingOrder="1"/>
    </xf>
    <xf numFmtId="3" fontId="5" fillId="0" borderId="1" xfId="3" applyNumberFormat="1" applyFont="1" applyFill="1" applyBorder="1" applyAlignment="1">
      <alignment horizontal="left" vertical="top" wrapText="1" readingOrder="1"/>
    </xf>
    <xf numFmtId="3" fontId="9" fillId="0" borderId="1" xfId="0" applyNumberFormat="1" applyFont="1" applyFill="1" applyBorder="1"/>
    <xf numFmtId="3" fontId="11" fillId="0" borderId="1" xfId="3" applyNumberFormat="1" applyFont="1" applyFill="1" applyBorder="1" applyAlignment="1">
      <alignment vertical="top" wrapText="1" readingOrder="1"/>
    </xf>
    <xf numFmtId="3" fontId="3" fillId="0" borderId="1" xfId="3" applyNumberFormat="1" applyFont="1" applyFill="1" applyBorder="1" applyAlignment="1">
      <alignment vertical="top" wrapText="1" readingOrder="1"/>
    </xf>
    <xf numFmtId="0" fontId="5" fillId="0" borderId="1" xfId="3" applyNumberFormat="1" applyFont="1" applyFill="1" applyBorder="1" applyAlignment="1">
      <alignment vertical="top" wrapText="1" readingOrder="1"/>
    </xf>
    <xf numFmtId="0" fontId="4" fillId="0" borderId="1" xfId="4" applyFont="1" applyFill="1" applyBorder="1"/>
    <xf numFmtId="0" fontId="6" fillId="0" borderId="1" xfId="3" applyNumberFormat="1" applyFont="1" applyFill="1" applyBorder="1" applyAlignment="1">
      <alignment vertical="top" wrapText="1" readingOrder="1"/>
    </xf>
    <xf numFmtId="0" fontId="5" fillId="0" borderId="1" xfId="3" applyNumberFormat="1" applyFont="1" applyFill="1" applyBorder="1" applyAlignment="1">
      <alignment horizontal="left" vertical="top" wrapText="1" readingOrder="1"/>
    </xf>
    <xf numFmtId="0" fontId="9" fillId="0" borderId="1" xfId="4" applyFont="1" applyFill="1" applyBorder="1"/>
    <xf numFmtId="0" fontId="7" fillId="0" borderId="1" xfId="3" applyNumberFormat="1" applyFont="1" applyFill="1" applyBorder="1" applyAlignment="1">
      <alignment vertical="top" wrapText="1" readingOrder="1"/>
    </xf>
    <xf numFmtId="0" fontId="8" fillId="0" borderId="1" xfId="4" applyFont="1" applyFill="1" applyBorder="1"/>
    <xf numFmtId="0" fontId="3" fillId="0" borderId="1" xfId="3" applyNumberFormat="1" applyFont="1" applyFill="1" applyBorder="1" applyAlignment="1">
      <alignment vertical="top" wrapText="1" readingOrder="1"/>
    </xf>
  </cellXfs>
  <cellStyles count="7">
    <cellStyle name="Erotin" xfId="1" builtinId="3"/>
    <cellStyle name="Erotin 2" xfId="5"/>
    <cellStyle name="Normaali" xfId="0" builtinId="0"/>
    <cellStyle name="Normaali 2" xfId="4"/>
    <cellStyle name="Normal" xfId="3"/>
    <cellStyle name="Prosentti" xfId="2" builtinId="5"/>
    <cellStyle name="Prosentti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aseline="0"/>
              <a:t>Nurmes-Valtimo (investoinnit, kassavarat ja lainat per asukas v.2014-2018)</a:t>
            </a:r>
            <a:endParaRPr lang="fi-FI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'Yhteinen kunta'!$C$55</c:f>
              <c:strCache>
                <c:ptCount val="1"/>
                <c:pt idx="0">
                  <c:v>INVESTOINNIT/ASUKAS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'Yhteinen kunta'!$E$8:$Q$8</c:f>
              <c:strCache>
                <c:ptCount val="1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 RD 21.1.2019</c:v>
                </c:pt>
                <c:pt idx="5">
                  <c:v>YHTEENSÄ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</c:strCache>
            </c:strRef>
          </c:cat>
          <c:val>
            <c:numRef>
              <c:f>'Yhteinen kunta'!$E$55:$Q$55</c:f>
              <c:numCache>
                <c:formatCode>_-* #\ ##0\ _€_-;\-* #\ ##0\ _€_-;_-* "-"??\ _€_-;_-@_-</c:formatCode>
                <c:ptCount val="13"/>
                <c:pt idx="0">
                  <c:v>851.87884217582848</c:v>
                </c:pt>
                <c:pt idx="1">
                  <c:v>1739.6791474520442</c:v>
                </c:pt>
                <c:pt idx="2">
                  <c:v>2273.4436535044424</c:v>
                </c:pt>
                <c:pt idx="3">
                  <c:v>3188.4875400641026</c:v>
                </c:pt>
                <c:pt idx="4">
                  <c:v>4079.8504106378641</c:v>
                </c:pt>
                <c:pt idx="6">
                  <c:v>4812.6769095036634</c:v>
                </c:pt>
                <c:pt idx="7">
                  <c:v>4772.6769095036634</c:v>
                </c:pt>
                <c:pt idx="8">
                  <c:v>5973.3021508675411</c:v>
                </c:pt>
                <c:pt idx="9">
                  <c:v>6529.5256994430165</c:v>
                </c:pt>
                <c:pt idx="10">
                  <c:v>7095.8972281842816</c:v>
                </c:pt>
                <c:pt idx="11">
                  <c:v>7673.5386563562579</c:v>
                </c:pt>
                <c:pt idx="12">
                  <c:v>8265.0296292596304</c:v>
                </c:pt>
              </c:numCache>
            </c:numRef>
          </c:val>
        </c:ser>
        <c:ser>
          <c:idx val="1"/>
          <c:order val="1"/>
          <c:tx>
            <c:strRef>
              <c:f>'Yhteinen kunta'!$C$56</c:f>
              <c:strCache>
                <c:ptCount val="1"/>
                <c:pt idx="0">
                  <c:v>KASSAVARAT/ASUKAS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'Yhteinen kunta'!$E$8:$Q$8</c:f>
              <c:strCache>
                <c:ptCount val="1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 RD 21.1.2019</c:v>
                </c:pt>
                <c:pt idx="5">
                  <c:v>YHTEENSÄ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</c:strCache>
            </c:strRef>
          </c:cat>
          <c:val>
            <c:numRef>
              <c:f>'Yhteinen kunta'!$E$56:$Q$56</c:f>
              <c:numCache>
                <c:formatCode>_-* #\ ##0\ _€_-;\-* #\ ##0\ _€_-;_-* "-"??\ _€_-;_-@_-</c:formatCode>
                <c:ptCount val="13"/>
                <c:pt idx="0">
                  <c:v>813.21122677647952</c:v>
                </c:pt>
                <c:pt idx="1">
                  <c:v>544.08626428986634</c:v>
                </c:pt>
                <c:pt idx="2">
                  <c:v>422.68273149062196</c:v>
                </c:pt>
                <c:pt idx="3">
                  <c:v>368.49596955128203</c:v>
                </c:pt>
                <c:pt idx="4">
                  <c:v>394.42908498063991</c:v>
                </c:pt>
                <c:pt idx="6">
                  <c:v>154.69735218243733</c:v>
                </c:pt>
                <c:pt idx="7">
                  <c:v>114.69735218243733</c:v>
                </c:pt>
                <c:pt idx="8">
                  <c:v>534.59254527174767</c:v>
                </c:pt>
                <c:pt idx="9">
                  <c:v>631.52899027457931</c:v>
                </c:pt>
                <c:pt idx="10">
                  <c:v>558.99162089899346</c:v>
                </c:pt>
                <c:pt idx="11">
                  <c:v>551.16000016205248</c:v>
                </c:pt>
                <c:pt idx="12">
                  <c:v>575.51043638821193</c:v>
                </c:pt>
              </c:numCache>
            </c:numRef>
          </c:val>
        </c:ser>
        <c:ser>
          <c:idx val="2"/>
          <c:order val="2"/>
          <c:tx>
            <c:strRef>
              <c:f>'Yhteinen kunta'!$C$57</c:f>
              <c:strCache>
                <c:ptCount val="1"/>
                <c:pt idx="0">
                  <c:v>LAINAT/ASUKAS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'Yhteinen kunta'!$E$8:$Q$8</c:f>
              <c:strCache>
                <c:ptCount val="1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 RD 21.1.2019</c:v>
                </c:pt>
                <c:pt idx="5">
                  <c:v>YHTEENSÄ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</c:strCache>
            </c:strRef>
          </c:cat>
          <c:val>
            <c:numRef>
              <c:f>'Yhteinen kunta'!$E$57:$Q$57</c:f>
              <c:numCache>
                <c:formatCode>_-* #\ ##0\ _€_-;\-* #\ ##0\ _€_-;_-* "-"??\ _€_-;_-@_-</c:formatCode>
                <c:ptCount val="13"/>
                <c:pt idx="0">
                  <c:v>-1471.9914796016089</c:v>
                </c:pt>
                <c:pt idx="1">
                  <c:v>-1511.2278289091264</c:v>
                </c:pt>
                <c:pt idx="2">
                  <c:v>-1648.1005301085886</c:v>
                </c:pt>
                <c:pt idx="3">
                  <c:v>-1448.5107602163464</c:v>
                </c:pt>
                <c:pt idx="4">
                  <c:v>-1436.4181200326068</c:v>
                </c:pt>
                <c:pt idx="6">
                  <c:v>-1649.9415364771442</c:v>
                </c:pt>
                <c:pt idx="7">
                  <c:v>-1689.9415364771442</c:v>
                </c:pt>
                <c:pt idx="8">
                  <c:v>-2046.1842256514119</c:v>
                </c:pt>
                <c:pt idx="9">
                  <c:v>-2224.6408290182399</c:v>
                </c:pt>
                <c:pt idx="10">
                  <c:v>-2368.5766165337463</c:v>
                </c:pt>
                <c:pt idx="11">
                  <c:v>-2674.4708593052223</c:v>
                </c:pt>
                <c:pt idx="12">
                  <c:v>-3026.7889210789208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10806904"/>
        <c:axId val="301776608"/>
      </c:barChart>
      <c:catAx>
        <c:axId val="51080690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01776608"/>
        <c:crosses val="max"/>
        <c:auto val="1"/>
        <c:lblAlgn val="ctr"/>
        <c:lblOffset val="100"/>
        <c:noMultiLvlLbl val="0"/>
      </c:catAx>
      <c:valAx>
        <c:axId val="301776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Euroa/asukas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_-* #\ ##0\ _€_-;\-* #\ 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10806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aseline="0"/>
              <a:t>Nurmes (investoinnit, kassavarat ja lainat per asukas v.2014-2018)</a:t>
            </a:r>
            <a:endParaRPr lang="fi-FI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Nurmes!$C$55</c:f>
              <c:strCache>
                <c:ptCount val="1"/>
                <c:pt idx="0">
                  <c:v>INVESTOINNIT/ASUKAS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Nurmes!$E$8:$Q$8</c:f>
              <c:strCache>
                <c:ptCount val="1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 RD 21.1.2019</c:v>
                </c:pt>
                <c:pt idx="5">
                  <c:v>YHTEENSÄ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</c:strCache>
            </c:strRef>
          </c:cat>
          <c:val>
            <c:numRef>
              <c:f>Nurmes!$E$55:$Q$55</c:f>
              <c:numCache>
                <c:formatCode>_-* #\ ##0\ _€_-;\-* #\ ##0\ _€_-;_-* "-"??\ _€_-;_-@_-</c:formatCode>
                <c:ptCount val="13"/>
                <c:pt idx="0">
                  <c:v>582.84313985148515</c:v>
                </c:pt>
                <c:pt idx="1">
                  <c:v>1115.4825831457863</c:v>
                </c:pt>
                <c:pt idx="2">
                  <c:v>1433.636437539632</c:v>
                </c:pt>
                <c:pt idx="3">
                  <c:v>2361.7544777849325</c:v>
                </c:pt>
                <c:pt idx="4">
                  <c:v>3395.1418997912315</c:v>
                </c:pt>
                <c:pt idx="6">
                  <c:v>4236.9565387152088</c:v>
                </c:pt>
                <c:pt idx="7">
                  <c:v>4196.9565387152088</c:v>
                </c:pt>
                <c:pt idx="8">
                  <c:v>5516.0829318243059</c:v>
                </c:pt>
                <c:pt idx="9">
                  <c:v>6117.6650585352563</c:v>
                </c:pt>
                <c:pt idx="10">
                  <c:v>6727.1982845360817</c:v>
                </c:pt>
                <c:pt idx="11">
                  <c:v>7345.6871819064791</c:v>
                </c:pt>
                <c:pt idx="12">
                  <c:v>7975.9584703740011</c:v>
                </c:pt>
              </c:numCache>
            </c:numRef>
          </c:val>
        </c:ser>
        <c:ser>
          <c:idx val="1"/>
          <c:order val="1"/>
          <c:tx>
            <c:strRef>
              <c:f>Nurmes!$C$56</c:f>
              <c:strCache>
                <c:ptCount val="1"/>
                <c:pt idx="0">
                  <c:v>KASSAVARAT/ASUKAS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Nurmes!$E$8:$Q$8</c:f>
              <c:strCache>
                <c:ptCount val="1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 RD 21.1.2019</c:v>
                </c:pt>
                <c:pt idx="5">
                  <c:v>YHTEENSÄ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</c:strCache>
            </c:strRef>
          </c:cat>
          <c:val>
            <c:numRef>
              <c:f>Nurmes!$E$56:$Q$56</c:f>
              <c:numCache>
                <c:formatCode>_-* #\ ##0\ _€_-;\-* #\ ##0\ _€_-;_-* "-"??\ _€_-;_-@_-</c:formatCode>
                <c:ptCount val="13"/>
                <c:pt idx="0">
                  <c:v>283.95890346534651</c:v>
                </c:pt>
                <c:pt idx="1">
                  <c:v>273.02161540385094</c:v>
                </c:pt>
                <c:pt idx="2">
                  <c:v>350.82912111604315</c:v>
                </c:pt>
                <c:pt idx="3">
                  <c:v>298.34499162910492</c:v>
                </c:pt>
                <c:pt idx="4">
                  <c:v>192.94376304801671</c:v>
                </c:pt>
                <c:pt idx="6">
                  <c:v>-7.1197731170030343</c:v>
                </c:pt>
                <c:pt idx="7">
                  <c:v>-47.119773117003035</c:v>
                </c:pt>
                <c:pt idx="8">
                  <c:v>203.20287084262051</c:v>
                </c:pt>
                <c:pt idx="9">
                  <c:v>217.79960576245261</c:v>
                </c:pt>
                <c:pt idx="10">
                  <c:v>45.127253625378579</c:v>
                </c:pt>
                <c:pt idx="11">
                  <c:v>18.428084786809215</c:v>
                </c:pt>
                <c:pt idx="12">
                  <c:v>3.8299217777858181</c:v>
                </c:pt>
              </c:numCache>
            </c:numRef>
          </c:val>
        </c:ser>
        <c:ser>
          <c:idx val="2"/>
          <c:order val="2"/>
          <c:tx>
            <c:strRef>
              <c:f>Nurmes!$C$57</c:f>
              <c:strCache>
                <c:ptCount val="1"/>
                <c:pt idx="0">
                  <c:v>LAINAT/ASUKAS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Nurmes!$E$8:$Q$8</c:f>
              <c:strCache>
                <c:ptCount val="1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 RD 21.1.2019</c:v>
                </c:pt>
                <c:pt idx="5">
                  <c:v>YHTEENSÄ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</c:strCache>
            </c:strRef>
          </c:cat>
          <c:val>
            <c:numRef>
              <c:f>Nurmes!$E$57:$Q$57</c:f>
              <c:numCache>
                <c:formatCode>_-* #\ ##0\ _€_-;\-* #\ ##0\ _€_-;_-* "-"??\ _€_-;_-@_-</c:formatCode>
                <c:ptCount val="13"/>
                <c:pt idx="0">
                  <c:v>-1612.4132462871287</c:v>
                </c:pt>
                <c:pt idx="1">
                  <c:v>-1658.3262878219552</c:v>
                </c:pt>
                <c:pt idx="2">
                  <c:v>-1441.50848065948</c:v>
                </c:pt>
                <c:pt idx="3">
                  <c:v>-1217.6936806181584</c:v>
                </c:pt>
                <c:pt idx="4">
                  <c:v>-1228.1956458768266</c:v>
                </c:pt>
                <c:pt idx="6">
                  <c:v>-1533.8202651365254</c:v>
                </c:pt>
                <c:pt idx="7">
                  <c:v>-1573.8202651365254</c:v>
                </c:pt>
                <c:pt idx="8">
                  <c:v>-1853.6636257073565</c:v>
                </c:pt>
                <c:pt idx="9">
                  <c:v>-1993.995566294582</c:v>
                </c:pt>
                <c:pt idx="10">
                  <c:v>-2094.5555230240548</c:v>
                </c:pt>
                <c:pt idx="11">
                  <c:v>-2404.3140599417234</c:v>
                </c:pt>
                <c:pt idx="12">
                  <c:v>-2776.0038422748285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01775040"/>
        <c:axId val="301781704"/>
      </c:barChart>
      <c:catAx>
        <c:axId val="301775040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01781704"/>
        <c:crosses val="max"/>
        <c:auto val="1"/>
        <c:lblAlgn val="ctr"/>
        <c:lblOffset val="100"/>
        <c:noMultiLvlLbl val="0"/>
      </c:catAx>
      <c:valAx>
        <c:axId val="301781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Euroa/asukas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_-* #\ ##0\ _€_-;\-* #\ 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01775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/>
              <a:t>Valtimo</a:t>
            </a:r>
            <a:r>
              <a:rPr lang="fi-FI" sz="1200" baseline="0"/>
              <a:t> (investoinnit, kassavarat ja lainat per asukas v.2014-2018)</a:t>
            </a:r>
            <a:endParaRPr lang="fi-FI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Valtimo!$C$55</c:f>
              <c:strCache>
                <c:ptCount val="1"/>
                <c:pt idx="0">
                  <c:v>INVESTOINNIT/ASUKAS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Valtimo!$E$8:$Q$8</c:f>
              <c:strCache>
                <c:ptCount val="1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 RD 19.1.2019</c:v>
                </c:pt>
                <c:pt idx="5">
                  <c:v>YHTEENSÄ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</c:strCache>
            </c:strRef>
          </c:cat>
          <c:val>
            <c:numRef>
              <c:f>Valtimo!$E$55:$Q$55</c:f>
              <c:numCache>
                <c:formatCode>_-* #\ ##0\ _€_-;\-* #\ ##0\ _€_-;_-* "-"??\ _€_-;_-@_-</c:formatCode>
                <c:ptCount val="13"/>
                <c:pt idx="0">
                  <c:v>1772.2041913632513</c:v>
                </c:pt>
                <c:pt idx="1">
                  <c:v>3887.8392685025819</c:v>
                </c:pt>
                <c:pt idx="2">
                  <c:v>5223.0560801781739</c:v>
                </c:pt>
                <c:pt idx="3">
                  <c:v>6081.4944028841819</c:v>
                </c:pt>
                <c:pt idx="4">
                  <c:v>6520.5973999999997</c:v>
                </c:pt>
                <c:pt idx="6">
                  <c:v>6881.1774454976303</c:v>
                </c:pt>
                <c:pt idx="7">
                  <c:v>6841.1774454976303</c:v>
                </c:pt>
                <c:pt idx="8">
                  <c:v>7644.9676896551728</c:v>
                </c:pt>
                <c:pt idx="9">
                  <c:v>8049.8916633165827</c:v>
                </c:pt>
                <c:pt idx="10">
                  <c:v>8471.4279025641026</c:v>
                </c:pt>
                <c:pt idx="11">
                  <c:v>8910.6201099476439</c:v>
                </c:pt>
                <c:pt idx="12">
                  <c:v>9368.6012887700545</c:v>
                </c:pt>
              </c:numCache>
            </c:numRef>
          </c:val>
        </c:ser>
        <c:ser>
          <c:idx val="1"/>
          <c:order val="1"/>
          <c:tx>
            <c:strRef>
              <c:f>Valtimo!$C$56</c:f>
              <c:strCache>
                <c:ptCount val="1"/>
                <c:pt idx="0">
                  <c:v>KASSAVARAT/ASUKAS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Valtimo!$E$8:$Q$8</c:f>
              <c:strCache>
                <c:ptCount val="1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 RD 19.1.2019</c:v>
                </c:pt>
                <c:pt idx="5">
                  <c:v>YHTEENSÄ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</c:strCache>
            </c:strRef>
          </c:cat>
          <c:val>
            <c:numRef>
              <c:f>Valtimo!$E$56:$Q$56</c:f>
              <c:numCache>
                <c:formatCode>_-* #\ ##0\ _€_-;\-* #\ ##0\ _€_-;_-* "-"??\ _€_-;_-@_-</c:formatCode>
                <c:ptCount val="13"/>
                <c:pt idx="0">
                  <c:v>2670.5862616426757</c:v>
                </c:pt>
                <c:pt idx="1">
                  <c:v>1084.9076506024096</c:v>
                </c:pt>
                <c:pt idx="2">
                  <c:v>675.05053452115806</c:v>
                </c:pt>
                <c:pt idx="3">
                  <c:v>613.97697160883274</c:v>
                </c:pt>
                <c:pt idx="4">
                  <c:v>1112.6539720930232</c:v>
                </c:pt>
                <c:pt idx="6">
                  <c:v>743.97253080568726</c:v>
                </c:pt>
                <c:pt idx="7">
                  <c:v>703.97253080568726</c:v>
                </c:pt>
                <c:pt idx="8">
                  <c:v>999.2920743138634</c:v>
                </c:pt>
                <c:pt idx="9">
                  <c:v>998.41426618808305</c:v>
                </c:pt>
                <c:pt idx="10">
                  <c:v>887.51584488400465</c:v>
                </c:pt>
                <c:pt idx="11">
                  <c:v>527.24472999252021</c:v>
                </c:pt>
                <c:pt idx="12">
                  <c:v>260.23262032085518</c:v>
                </c:pt>
              </c:numCache>
            </c:numRef>
          </c:val>
        </c:ser>
        <c:ser>
          <c:idx val="2"/>
          <c:order val="2"/>
          <c:tx>
            <c:strRef>
              <c:f>Valtimo!$C$57</c:f>
              <c:strCache>
                <c:ptCount val="1"/>
                <c:pt idx="0">
                  <c:v>LAINAT/ASUKAS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Valtimo!$E$8:$Q$8</c:f>
              <c:strCache>
                <c:ptCount val="1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 RD 19.1.2019</c:v>
                </c:pt>
                <c:pt idx="5">
                  <c:v>YHTEENSÄ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</c:strCache>
            </c:strRef>
          </c:cat>
          <c:val>
            <c:numRef>
              <c:f>Valtimo!$E$57:$Q$57</c:f>
              <c:numCache>
                <c:formatCode>_-* #\ ##0\ _€_-;\-* #\ ##0\ _€_-;_-* "-"??\ _€_-;_-@_-</c:formatCode>
                <c:ptCount val="13"/>
                <c:pt idx="0">
                  <c:v>-991.63251481795089</c:v>
                </c:pt>
                <c:pt idx="1">
                  <c:v>-1004.9913941480206</c:v>
                </c:pt>
                <c:pt idx="2">
                  <c:v>-2373.7033407572385</c:v>
                </c:pt>
                <c:pt idx="3">
                  <c:v>-2256.2145110410092</c:v>
                </c:pt>
                <c:pt idx="4">
                  <c:v>-2178.6586046511629</c:v>
                </c:pt>
                <c:pt idx="6">
                  <c:v>-2067.1526066350712</c:v>
                </c:pt>
                <c:pt idx="7">
                  <c:v>-2107.1526066350712</c:v>
                </c:pt>
                <c:pt idx="8">
                  <c:v>-2750.0698871217446</c:v>
                </c:pt>
                <c:pt idx="9">
                  <c:v>-3076.057964680545</c:v>
                </c:pt>
                <c:pt idx="10">
                  <c:v>-3390.8860807814403</c:v>
                </c:pt>
                <c:pt idx="11">
                  <c:v>-3693.853086013462</c:v>
                </c:pt>
                <c:pt idx="12">
                  <c:v>-3984.1978395721917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6251272"/>
        <c:axId val="176252056"/>
      </c:barChart>
      <c:catAx>
        <c:axId val="176251272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76252056"/>
        <c:crosses val="max"/>
        <c:auto val="1"/>
        <c:lblAlgn val="ctr"/>
        <c:lblOffset val="100"/>
        <c:noMultiLvlLbl val="0"/>
      </c:catAx>
      <c:valAx>
        <c:axId val="176252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Euroa/asukas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_-* #\ ##0\ _€_-;\-* #\ 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76251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60</xdr:row>
      <xdr:rowOff>0</xdr:rowOff>
    </xdr:from>
    <xdr:to>
      <xdr:col>14</xdr:col>
      <xdr:colOff>392430</xdr:colOff>
      <xdr:row>83</xdr:row>
      <xdr:rowOff>148590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60</xdr:row>
      <xdr:rowOff>9524</xdr:rowOff>
    </xdr:from>
    <xdr:to>
      <xdr:col>14</xdr:col>
      <xdr:colOff>447675</xdr:colOff>
      <xdr:row>83</xdr:row>
      <xdr:rowOff>114299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60</xdr:row>
      <xdr:rowOff>9524</xdr:rowOff>
    </xdr:from>
    <xdr:to>
      <xdr:col>14</xdr:col>
      <xdr:colOff>447675</xdr:colOff>
      <xdr:row>83</xdr:row>
      <xdr:rowOff>114299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llinto/hallintopalvelut/Rahatoimisto/talousarvion%20laadinta/TA%202019/Raportit%20talousarvioon/NV_RAHOITUSLASKELMA_NURM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allinto/hallintopalvelut/Rahatoimisto/Hankkeet/Kuntaliitosselvitys%202018/Taloustiedot/NV_RAHOITUSLASKELMA_VALTIMO_KUNT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hokyo\Documents\TP2018rahoituslaskel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hoituslaskelma"/>
    </sheetNames>
    <sheetDataSet>
      <sheetData sheetId="0">
        <row r="11"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4">
          <cell r="K14">
            <v>-6100000</v>
          </cell>
          <cell r="L14">
            <v>-4295000</v>
          </cell>
          <cell r="M14">
            <v>-4525000</v>
          </cell>
          <cell r="N14">
            <v>-4000000</v>
          </cell>
          <cell r="O14">
            <v>-4000000</v>
          </cell>
          <cell r="P14">
            <v>-4000000</v>
          </cell>
          <cell r="Q14">
            <v>-4000000</v>
          </cell>
        </row>
        <row r="15">
          <cell r="K15">
            <v>300000</v>
          </cell>
          <cell r="L15">
            <v>375000</v>
          </cell>
          <cell r="M15">
            <v>375000</v>
          </cell>
          <cell r="N15">
            <v>0</v>
          </cell>
          <cell r="O15"/>
          <cell r="P15"/>
          <cell r="Q15"/>
        </row>
        <row r="16">
          <cell r="K16">
            <v>0</v>
          </cell>
          <cell r="L16"/>
          <cell r="M16"/>
          <cell r="N16"/>
          <cell r="O16"/>
          <cell r="P16"/>
          <cell r="Q16"/>
        </row>
        <row r="22">
          <cell r="K22">
            <v>-1899000</v>
          </cell>
          <cell r="L22"/>
          <cell r="M22"/>
          <cell r="N22"/>
          <cell r="O22"/>
          <cell r="P22"/>
          <cell r="Q22"/>
        </row>
        <row r="23"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5">
          <cell r="K25">
            <v>4000000</v>
          </cell>
          <cell r="L25">
            <v>3000000</v>
          </cell>
          <cell r="M25">
            <v>3000000</v>
          </cell>
          <cell r="N25">
            <v>3000000</v>
          </cell>
          <cell r="O25">
            <v>3000000</v>
          </cell>
          <cell r="P25">
            <v>5000000</v>
          </cell>
          <cell r="Q25">
            <v>6000000</v>
          </cell>
        </row>
        <row r="26">
          <cell r="K26">
            <v>-1785000</v>
          </cell>
          <cell r="L26">
            <v>-2060000</v>
          </cell>
          <cell r="M26">
            <v>-1810000</v>
          </cell>
          <cell r="N26">
            <v>-2110000</v>
          </cell>
          <cell r="O26">
            <v>-2410000</v>
          </cell>
          <cell r="P26">
            <v>-2910000</v>
          </cell>
          <cell r="Q26">
            <v>-3510000</v>
          </cell>
        </row>
        <row r="27">
          <cell r="K27"/>
          <cell r="L27"/>
          <cell r="M27"/>
          <cell r="N27"/>
          <cell r="O27"/>
          <cell r="P27"/>
          <cell r="Q27"/>
        </row>
        <row r="28">
          <cell r="K28"/>
          <cell r="L28"/>
          <cell r="M28"/>
          <cell r="N28"/>
          <cell r="O28"/>
          <cell r="P28"/>
          <cell r="Q28"/>
        </row>
        <row r="29"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44">
          <cell r="R44">
            <v>0</v>
          </cell>
        </row>
        <row r="54">
          <cell r="E54">
            <v>8080</v>
          </cell>
          <cell r="F54">
            <v>7998</v>
          </cell>
          <cell r="G54">
            <v>7885</v>
          </cell>
          <cell r="H54">
            <v>7765</v>
          </cell>
          <cell r="I54">
            <v>7664</v>
          </cell>
          <cell r="K54">
            <v>7581</v>
          </cell>
          <cell r="L54">
            <v>7500</v>
          </cell>
          <cell r="M54">
            <v>7422</v>
          </cell>
          <cell r="N54">
            <v>7346</v>
          </cell>
          <cell r="O54">
            <v>7275</v>
          </cell>
          <cell r="P54">
            <v>7207</v>
          </cell>
          <cell r="Q54">
            <v>7139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hoituslaskelma"/>
    </sheetNames>
    <sheetDataSet>
      <sheetData sheetId="0">
        <row r="11">
          <cell r="K11"/>
          <cell r="L11"/>
          <cell r="M11"/>
          <cell r="N11"/>
          <cell r="O11"/>
          <cell r="P11"/>
          <cell r="Q11"/>
        </row>
        <row r="12">
          <cell r="K12"/>
          <cell r="L12"/>
          <cell r="M12"/>
          <cell r="N12"/>
          <cell r="O12"/>
          <cell r="P12"/>
          <cell r="Q12"/>
        </row>
        <row r="14">
          <cell r="K14">
            <v>-500000</v>
          </cell>
          <cell r="L14">
            <v>-500000</v>
          </cell>
          <cell r="M14">
            <v>-500000</v>
          </cell>
          <cell r="N14">
            <v>-500000</v>
          </cell>
          <cell r="O14">
            <v>-500000</v>
          </cell>
          <cell r="P14">
            <v>-500000</v>
          </cell>
          <cell r="Q14">
            <v>-500000</v>
          </cell>
        </row>
        <row r="15"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K16"/>
          <cell r="L16"/>
          <cell r="M16"/>
          <cell r="N16"/>
          <cell r="O16"/>
          <cell r="P16"/>
          <cell r="Q16"/>
        </row>
        <row r="22">
          <cell r="K22"/>
          <cell r="L22"/>
          <cell r="M22"/>
          <cell r="N22"/>
          <cell r="O22"/>
          <cell r="P22"/>
          <cell r="Q22"/>
        </row>
        <row r="23"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5">
          <cell r="K25"/>
          <cell r="L25">
            <v>956819.42095238087</v>
          </cell>
          <cell r="M25">
            <v>956819.42095238087</v>
          </cell>
          <cell r="N25">
            <v>956819.42095238087</v>
          </cell>
          <cell r="O25">
            <v>956819.42095238087</v>
          </cell>
          <cell r="P25">
            <v>956819.42095238087</v>
          </cell>
          <cell r="Q25">
            <v>956819.42095238087</v>
          </cell>
        </row>
        <row r="26">
          <cell r="K26">
            <v>-322424</v>
          </cell>
          <cell r="L26">
            <v>-322424</v>
          </cell>
          <cell r="M26">
            <v>-370264.97104761907</v>
          </cell>
          <cell r="N26">
            <v>-418105.94209523813</v>
          </cell>
          <cell r="O26">
            <v>-465946.9131428572</v>
          </cell>
          <cell r="P26">
            <v>-513787.88419047627</v>
          </cell>
          <cell r="Q26">
            <v>-561628.85523809528</v>
          </cell>
        </row>
        <row r="27">
          <cell r="K27"/>
          <cell r="L27"/>
          <cell r="M27"/>
          <cell r="N27"/>
          <cell r="O27"/>
          <cell r="P27"/>
          <cell r="Q27"/>
        </row>
        <row r="28">
          <cell r="K28"/>
          <cell r="L28"/>
          <cell r="M28"/>
          <cell r="N28"/>
          <cell r="O28"/>
          <cell r="P28"/>
          <cell r="Q28"/>
        </row>
        <row r="29"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44">
          <cell r="R44">
            <v>-1892206.040000001</v>
          </cell>
        </row>
        <row r="54">
          <cell r="E54">
            <v>2362</v>
          </cell>
          <cell r="F54">
            <v>2324</v>
          </cell>
          <cell r="G54">
            <v>2245</v>
          </cell>
          <cell r="H54">
            <v>2219</v>
          </cell>
          <cell r="I54">
            <v>2150</v>
          </cell>
          <cell r="K54">
            <v>2110</v>
          </cell>
          <cell r="L54">
            <v>2070</v>
          </cell>
          <cell r="M54">
            <v>2030</v>
          </cell>
          <cell r="N54">
            <v>1990</v>
          </cell>
          <cell r="O54">
            <v>1950</v>
          </cell>
          <cell r="P54">
            <v>1910</v>
          </cell>
          <cell r="Q54">
            <v>1870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ernin rahoituslaskelma"/>
    </sheetNames>
    <sheetDataSet>
      <sheetData sheetId="0">
        <row r="10">
          <cell r="E10">
            <v>844534.21</v>
          </cell>
        </row>
        <row r="255">
          <cell r="E255">
            <v>0</v>
          </cell>
        </row>
        <row r="258">
          <cell r="E258">
            <v>-45000</v>
          </cell>
        </row>
        <row r="263">
          <cell r="E263">
            <v>-524448.32999999996</v>
          </cell>
        </row>
        <row r="278">
          <cell r="E278">
            <v>34456.44</v>
          </cell>
        </row>
        <row r="281">
          <cell r="E281">
            <v>45000</v>
          </cell>
        </row>
        <row r="290">
          <cell r="E290">
            <v>138062.96</v>
          </cell>
        </row>
        <row r="295">
          <cell r="E295">
            <v>-322424</v>
          </cell>
        </row>
        <row r="305">
          <cell r="E305">
            <v>214262.06</v>
          </cell>
        </row>
        <row r="336">
          <cell r="E336">
            <v>645347.80000000005</v>
          </cell>
        </row>
        <row r="393">
          <cell r="E393">
            <v>2392206.04</v>
          </cell>
        </row>
        <row r="394">
          <cell r="E394">
            <v>1362414.9</v>
          </cell>
        </row>
      </sheetData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63"/>
  <sheetViews>
    <sheetView topLeftCell="D28" zoomScale="80" zoomScaleNormal="80" workbookViewId="0">
      <selection activeCell="Q52" sqref="Q52"/>
    </sheetView>
  </sheetViews>
  <sheetFormatPr defaultRowHeight="14.4" x14ac:dyDescent="0.3"/>
  <cols>
    <col min="3" max="3" width="12.5546875" customWidth="1"/>
    <col min="4" max="4" width="17.88671875" customWidth="1"/>
    <col min="5" max="18" width="12.6640625" bestFit="1" customWidth="1"/>
    <col min="19" max="19" width="16.109375" bestFit="1" customWidth="1"/>
    <col min="20" max="20" width="14.6640625" customWidth="1"/>
  </cols>
  <sheetData>
    <row r="8" spans="1:20" ht="20.399999999999999" x14ac:dyDescent="0.3">
      <c r="A8" s="9" t="s">
        <v>0</v>
      </c>
      <c r="B8" s="9" t="s">
        <v>0</v>
      </c>
      <c r="C8" s="75" t="s">
        <v>0</v>
      </c>
      <c r="D8" s="70"/>
      <c r="E8" s="22">
        <v>2014</v>
      </c>
      <c r="F8" s="22">
        <v>2015</v>
      </c>
      <c r="G8" s="22">
        <v>2016</v>
      </c>
      <c r="H8" s="22">
        <v>2017</v>
      </c>
      <c r="I8" s="22" t="s">
        <v>39</v>
      </c>
      <c r="J8" s="22" t="s">
        <v>40</v>
      </c>
      <c r="K8" s="22">
        <v>2019</v>
      </c>
      <c r="L8" s="22">
        <f>+K8+1</f>
        <v>2020</v>
      </c>
      <c r="M8" s="22">
        <f t="shared" ref="M8:O8" si="0">+L8+1</f>
        <v>2021</v>
      </c>
      <c r="N8" s="22">
        <f t="shared" si="0"/>
        <v>2022</v>
      </c>
      <c r="O8" s="22">
        <f t="shared" si="0"/>
        <v>2023</v>
      </c>
      <c r="P8" s="22">
        <v>2024</v>
      </c>
      <c r="Q8" s="22">
        <v>2025</v>
      </c>
      <c r="R8" s="22" t="s">
        <v>41</v>
      </c>
    </row>
    <row r="9" spans="1:20" x14ac:dyDescent="0.3">
      <c r="A9" s="69" t="s">
        <v>1</v>
      </c>
      <c r="B9" s="70"/>
      <c r="C9" s="70"/>
      <c r="D9" s="70"/>
      <c r="E9" s="11">
        <f>SUM(E10:E12)</f>
        <v>3703232.7499999995</v>
      </c>
      <c r="F9" s="11">
        <f t="shared" ref="F9:J9" si="1">SUM(F10:F12)</f>
        <v>3812054.98</v>
      </c>
      <c r="G9" s="11">
        <f t="shared" si="1"/>
        <v>4686039.8</v>
      </c>
      <c r="H9" s="11">
        <f t="shared" si="1"/>
        <v>8542287.3800000008</v>
      </c>
      <c r="I9" s="11">
        <f t="shared" si="1"/>
        <v>6459839.21</v>
      </c>
      <c r="J9" s="11">
        <f t="shared" si="1"/>
        <v>27203454.120000001</v>
      </c>
      <c r="K9" s="11">
        <f>SUM(K10:K12)</f>
        <v>3934669</v>
      </c>
      <c r="L9" s="11">
        <f t="shared" ref="L9:Q9" si="2">SUM(L10:L12)</f>
        <v>4638375.4509003311</v>
      </c>
      <c r="M9" s="11">
        <f t="shared" si="2"/>
        <v>4634471.3761510849</v>
      </c>
      <c r="N9" s="11">
        <f t="shared" si="2"/>
        <v>3914272.4364377707</v>
      </c>
      <c r="O9" s="11">
        <f t="shared" si="2"/>
        <v>2679870.5417802185</v>
      </c>
      <c r="P9" s="11">
        <f t="shared" si="2"/>
        <v>1835196.4819223136</v>
      </c>
      <c r="Q9" s="11">
        <f t="shared" si="2"/>
        <v>1774657.2342296839</v>
      </c>
      <c r="R9" s="11">
        <f t="shared" ref="R9:R17" si="3">SUM(K9:Q9)</f>
        <v>23411512.521421403</v>
      </c>
    </row>
    <row r="10" spans="1:20" x14ac:dyDescent="0.3">
      <c r="A10" s="12" t="s">
        <v>0</v>
      </c>
      <c r="B10" s="12" t="s">
        <v>0</v>
      </c>
      <c r="C10" s="71" t="s">
        <v>2</v>
      </c>
      <c r="D10" s="70"/>
      <c r="E10" s="8">
        <f>Nurmes!E10+Valtimo!E10</f>
        <v>3737991.2399999998</v>
      </c>
      <c r="F10" s="8">
        <f>Nurmes!F10+Valtimo!F10</f>
        <v>3884523.9</v>
      </c>
      <c r="G10" s="8">
        <f>Nurmes!G10+Valtimo!G10</f>
        <v>4781605.38</v>
      </c>
      <c r="H10" s="8">
        <f>Nurmes!H10+Valtimo!H10</f>
        <v>8971704.8000000007</v>
      </c>
      <c r="I10" s="8">
        <f>Nurmes!I10+Valtimo!I10</f>
        <v>6583810.21</v>
      </c>
      <c r="J10" s="8">
        <f>Nurmes!J10+Valtimo!J10</f>
        <v>27959635.530000001</v>
      </c>
      <c r="K10" s="8">
        <v>3934669</v>
      </c>
      <c r="L10" s="8">
        <v>4638375.4509003311</v>
      </c>
      <c r="M10" s="8">
        <v>4634471.3761510849</v>
      </c>
      <c r="N10" s="8">
        <v>3914272.4364377707</v>
      </c>
      <c r="O10" s="8">
        <v>2679870.5417802185</v>
      </c>
      <c r="P10" s="8">
        <v>1835196.4819223136</v>
      </c>
      <c r="Q10" s="8">
        <v>1774657.2342296839</v>
      </c>
      <c r="R10" s="11">
        <f t="shared" si="3"/>
        <v>23411512.521421403</v>
      </c>
    </row>
    <row r="11" spans="1:20" x14ac:dyDescent="0.3">
      <c r="A11" s="12" t="s">
        <v>0</v>
      </c>
      <c r="B11" s="12" t="s">
        <v>0</v>
      </c>
      <c r="C11" s="71" t="s">
        <v>3</v>
      </c>
      <c r="D11" s="70"/>
      <c r="E11" s="8">
        <f>Nurmes!E11+Valtimo!E11</f>
        <v>-40495.769999999997</v>
      </c>
      <c r="F11" s="8">
        <f>Nurmes!F11+Valtimo!F11</f>
        <v>-25437.16</v>
      </c>
      <c r="G11" s="8">
        <f>Nurmes!G11+Valtimo!G11</f>
        <v>-95565.58</v>
      </c>
      <c r="H11" s="8">
        <f>Nurmes!H11+Valtimo!H11</f>
        <v>-268141.06</v>
      </c>
      <c r="I11" s="8">
        <f>Nurmes!I11+Valtimo!I11</f>
        <v>-8215</v>
      </c>
      <c r="J11" s="8">
        <f>Nurmes!J11+Valtimo!J11</f>
        <v>-437854.57</v>
      </c>
      <c r="K11" s="8">
        <f>[1]Rahoituslaskelma!K11+[2]Rahoituslaskelma!K11</f>
        <v>0</v>
      </c>
      <c r="L11" s="8">
        <f>[1]Rahoituslaskelma!L11+[2]Rahoituslaskelma!L11</f>
        <v>0</v>
      </c>
      <c r="M11" s="8">
        <f>[1]Rahoituslaskelma!M11+[2]Rahoituslaskelma!M11</f>
        <v>0</v>
      </c>
      <c r="N11" s="8">
        <f>[1]Rahoituslaskelma!N11+[2]Rahoituslaskelma!N11</f>
        <v>0</v>
      </c>
      <c r="O11" s="8">
        <f>[1]Rahoituslaskelma!O11+[2]Rahoituslaskelma!O11</f>
        <v>0</v>
      </c>
      <c r="P11" s="8">
        <f>[1]Rahoituslaskelma!P11+[2]Rahoituslaskelma!P11</f>
        <v>0</v>
      </c>
      <c r="Q11" s="8">
        <f>[1]Rahoituslaskelma!Q11+[2]Rahoituslaskelma!Q11</f>
        <v>0</v>
      </c>
      <c r="R11" s="11">
        <f t="shared" si="3"/>
        <v>0</v>
      </c>
    </row>
    <row r="12" spans="1:20" x14ac:dyDescent="0.3">
      <c r="A12" s="12" t="s">
        <v>0</v>
      </c>
      <c r="B12" s="12" t="s">
        <v>0</v>
      </c>
      <c r="C12" s="71" t="s">
        <v>4</v>
      </c>
      <c r="D12" s="70"/>
      <c r="E12" s="8">
        <f>Nurmes!E12+Valtimo!E12</f>
        <v>5737.28</v>
      </c>
      <c r="F12" s="8">
        <f>Nurmes!F12+Valtimo!F12</f>
        <v>-47031.76</v>
      </c>
      <c r="G12" s="8">
        <f>Nurmes!G12+Valtimo!G12</f>
        <v>0</v>
      </c>
      <c r="H12" s="8">
        <f>Nurmes!H12+Valtimo!H12</f>
        <v>-161276.35999999999</v>
      </c>
      <c r="I12" s="8">
        <f>Nurmes!I12+Valtimo!I12</f>
        <v>-115756</v>
      </c>
      <c r="J12" s="8">
        <f>Nurmes!J12+Valtimo!J12</f>
        <v>-318326.83999999997</v>
      </c>
      <c r="K12" s="8">
        <f>[1]Rahoituslaskelma!K12+[2]Rahoituslaskelma!K12</f>
        <v>0</v>
      </c>
      <c r="L12" s="8">
        <f>[1]Rahoituslaskelma!L12+[2]Rahoituslaskelma!L12</f>
        <v>0</v>
      </c>
      <c r="M12" s="8">
        <f>[1]Rahoituslaskelma!M12+[2]Rahoituslaskelma!M12</f>
        <v>0</v>
      </c>
      <c r="N12" s="8">
        <f>[1]Rahoituslaskelma!N12+[2]Rahoituslaskelma!N12</f>
        <v>0</v>
      </c>
      <c r="O12" s="8">
        <f>[1]Rahoituslaskelma!O12+[2]Rahoituslaskelma!O12</f>
        <v>0</v>
      </c>
      <c r="P12" s="8">
        <f>[1]Rahoituslaskelma!P12+[2]Rahoituslaskelma!P12</f>
        <v>0</v>
      </c>
      <c r="Q12" s="8">
        <f>[1]Rahoituslaskelma!Q12+[2]Rahoituslaskelma!Q12</f>
        <v>0</v>
      </c>
      <c r="R12" s="11">
        <f t="shared" si="3"/>
        <v>0</v>
      </c>
      <c r="S12" s="5" t="s">
        <v>42</v>
      </c>
      <c r="T12" s="5"/>
    </row>
    <row r="13" spans="1:20" x14ac:dyDescent="0.3">
      <c r="A13" s="69" t="s">
        <v>5</v>
      </c>
      <c r="B13" s="70"/>
      <c r="C13" s="70"/>
      <c r="D13" s="70"/>
      <c r="E13" s="8">
        <f>Nurmes!E13+Valtimo!E13</f>
        <v>-7151903.96</v>
      </c>
      <c r="F13" s="8">
        <f>Nurmes!F13+Valtimo!F13</f>
        <v>-7485881.3100000005</v>
      </c>
      <c r="G13" s="8">
        <f>Nurmes!G13+Valtimo!G13</f>
        <v>-4677469.4800000004</v>
      </c>
      <c r="H13" s="8">
        <f>Nurmes!H13+Valtimo!H13</f>
        <v>-5812075.6999999993</v>
      </c>
      <c r="I13" s="8">
        <f>Nurmes!I13+Valtimo!I13</f>
        <v>-7701394.8899999997</v>
      </c>
      <c r="J13" s="8">
        <f>Nurmes!J13+Valtimo!J13</f>
        <v>-32828725.34</v>
      </c>
      <c r="K13" s="11">
        <f>SUM(K14:K16)</f>
        <v>-6300000</v>
      </c>
      <c r="L13" s="11">
        <f t="shared" ref="L13:Q13" si="4">SUM(L14:L16)</f>
        <v>-4420000</v>
      </c>
      <c r="M13" s="11">
        <f t="shared" si="4"/>
        <v>-4650000</v>
      </c>
      <c r="N13" s="11">
        <f t="shared" si="4"/>
        <v>-4500000</v>
      </c>
      <c r="O13" s="11">
        <f t="shared" si="4"/>
        <v>-4500000</v>
      </c>
      <c r="P13" s="11">
        <f t="shared" si="4"/>
        <v>-4500000</v>
      </c>
      <c r="Q13" s="11">
        <f t="shared" si="4"/>
        <v>-4500000</v>
      </c>
      <c r="R13" s="11">
        <f t="shared" ref="R13" si="5">SUM(K13:Q13)</f>
        <v>-33370000</v>
      </c>
      <c r="S13" s="18">
        <f>+J13+R13</f>
        <v>-66198725.340000004</v>
      </c>
      <c r="T13" s="18">
        <f>AVERAGE(K13:Q13)</f>
        <v>-4767142.8571428573</v>
      </c>
    </row>
    <row r="14" spans="1:20" x14ac:dyDescent="0.3">
      <c r="A14" s="12" t="s">
        <v>0</v>
      </c>
      <c r="B14" s="12" t="s">
        <v>0</v>
      </c>
      <c r="C14" s="74" t="s">
        <v>6</v>
      </c>
      <c r="D14" s="70"/>
      <c r="E14" s="8">
        <f>Nurmes!E14+Valtimo!E14</f>
        <v>-8895318.870000001</v>
      </c>
      <c r="F14" s="8">
        <f>Nurmes!F14+Valtimo!F14</f>
        <v>-9061649.2899999991</v>
      </c>
      <c r="G14" s="8">
        <f>Nurmes!G14+Valtimo!G14</f>
        <v>-5073016.05</v>
      </c>
      <c r="H14" s="8">
        <f>Nurmes!H14+Valtimo!H14</f>
        <v>-8803875.3900000006</v>
      </c>
      <c r="I14" s="8">
        <f>Nurmes!I14+Valtimo!I14</f>
        <v>-8205792.3300000001</v>
      </c>
      <c r="J14" s="8">
        <f>Nurmes!J14+Valtimo!J14</f>
        <v>-40039651.93</v>
      </c>
      <c r="K14" s="8">
        <f>[1]Rahoituslaskelma!K14+[2]Rahoituslaskelma!K14</f>
        <v>-6600000</v>
      </c>
      <c r="L14" s="8">
        <f>[1]Rahoituslaskelma!L14+[2]Rahoituslaskelma!L14</f>
        <v>-4795000</v>
      </c>
      <c r="M14" s="8">
        <f>[1]Rahoituslaskelma!M14+[2]Rahoituslaskelma!M14</f>
        <v>-5025000</v>
      </c>
      <c r="N14" s="8">
        <f>[1]Rahoituslaskelma!N14+[2]Rahoituslaskelma!N14</f>
        <v>-4500000</v>
      </c>
      <c r="O14" s="8">
        <f>[1]Rahoituslaskelma!O14+[2]Rahoituslaskelma!O14</f>
        <v>-4500000</v>
      </c>
      <c r="P14" s="8">
        <f>[1]Rahoituslaskelma!P14+[2]Rahoituslaskelma!P14</f>
        <v>-4500000</v>
      </c>
      <c r="Q14" s="8">
        <f>[1]Rahoituslaskelma!Q14+[2]Rahoituslaskelma!Q14</f>
        <v>-4500000</v>
      </c>
      <c r="R14" s="11">
        <f t="shared" si="3"/>
        <v>-34420000</v>
      </c>
      <c r="S14" s="5"/>
      <c r="T14" s="5"/>
    </row>
    <row r="15" spans="1:20" x14ac:dyDescent="0.3">
      <c r="A15" s="12" t="s">
        <v>0</v>
      </c>
      <c r="B15" s="12" t="s">
        <v>0</v>
      </c>
      <c r="C15" s="71" t="s">
        <v>7</v>
      </c>
      <c r="D15" s="70"/>
      <c r="E15" s="8">
        <f>Nurmes!E15+Valtimo!E15</f>
        <v>1631292.91</v>
      </c>
      <c r="F15" s="8">
        <f>Nurmes!F15+Valtimo!F15</f>
        <v>1497260.28</v>
      </c>
      <c r="G15" s="8">
        <f>Nurmes!G15+Valtimo!G15</f>
        <v>292514.27</v>
      </c>
      <c r="H15" s="8">
        <f>Nurmes!H15+Valtimo!H15</f>
        <v>384199.5</v>
      </c>
      <c r="I15" s="8">
        <f>Nurmes!I15+Valtimo!I15</f>
        <v>384401.44</v>
      </c>
      <c r="J15" s="8">
        <f>Nurmes!J15+Valtimo!J15</f>
        <v>4189668.4000000004</v>
      </c>
      <c r="K15" s="8">
        <f>[1]Rahoituslaskelma!K15+[2]Rahoituslaskelma!K15</f>
        <v>300000</v>
      </c>
      <c r="L15" s="8">
        <f>[1]Rahoituslaskelma!L15+[2]Rahoituslaskelma!L15</f>
        <v>375000</v>
      </c>
      <c r="M15" s="8">
        <f>[1]Rahoituslaskelma!M15+[2]Rahoituslaskelma!M15</f>
        <v>375000</v>
      </c>
      <c r="N15" s="8">
        <f>[1]Rahoituslaskelma!N15+[2]Rahoituslaskelma!N15</f>
        <v>0</v>
      </c>
      <c r="O15" s="8">
        <f>[1]Rahoituslaskelma!O15+[2]Rahoituslaskelma!O15</f>
        <v>0</v>
      </c>
      <c r="P15" s="8">
        <f>[1]Rahoituslaskelma!P15+[2]Rahoituslaskelma!P15</f>
        <v>0</v>
      </c>
      <c r="Q15" s="8">
        <f>[1]Rahoituslaskelma!Q15+[2]Rahoituslaskelma!Q15</f>
        <v>0</v>
      </c>
      <c r="R15" s="11">
        <f t="shared" si="3"/>
        <v>1050000</v>
      </c>
      <c r="S15" s="5"/>
      <c r="T15" s="5"/>
    </row>
    <row r="16" spans="1:20" x14ac:dyDescent="0.3">
      <c r="A16" s="12" t="s">
        <v>0</v>
      </c>
      <c r="B16" s="12" t="s">
        <v>0</v>
      </c>
      <c r="C16" s="71" t="s">
        <v>8</v>
      </c>
      <c r="D16" s="70"/>
      <c r="E16" s="8">
        <f>Nurmes!E16+Valtimo!E16</f>
        <v>112122</v>
      </c>
      <c r="F16" s="8">
        <f>Nurmes!F16+Valtimo!F16</f>
        <v>78507.7</v>
      </c>
      <c r="G16" s="8">
        <f>Nurmes!G16+Valtimo!G16</f>
        <v>103032.3</v>
      </c>
      <c r="H16" s="8">
        <f>Nurmes!H16+Valtimo!H16</f>
        <v>2607600.19</v>
      </c>
      <c r="I16" s="8">
        <f>Nurmes!I16+Valtimo!I16</f>
        <v>119996</v>
      </c>
      <c r="J16" s="8">
        <f>Nurmes!J16+Valtimo!J16</f>
        <v>3021258.1900000004</v>
      </c>
      <c r="K16" s="8">
        <f>[1]Rahoituslaskelma!K16+[2]Rahoituslaskelma!K16</f>
        <v>0</v>
      </c>
      <c r="L16" s="8">
        <f>[1]Rahoituslaskelma!L16+[2]Rahoituslaskelma!L16</f>
        <v>0</v>
      </c>
      <c r="M16" s="8">
        <f>[1]Rahoituslaskelma!M16+[2]Rahoituslaskelma!M16</f>
        <v>0</v>
      </c>
      <c r="N16" s="8">
        <f>[1]Rahoituslaskelma!N16+[2]Rahoituslaskelma!N16</f>
        <v>0</v>
      </c>
      <c r="O16" s="8">
        <f>[1]Rahoituslaskelma!O16+[2]Rahoituslaskelma!O16</f>
        <v>0</v>
      </c>
      <c r="P16" s="8">
        <f>[1]Rahoituslaskelma!P16+[2]Rahoituslaskelma!P16</f>
        <v>0</v>
      </c>
      <c r="Q16" s="8">
        <f>[1]Rahoituslaskelma!Q16+[2]Rahoituslaskelma!Q16</f>
        <v>0</v>
      </c>
      <c r="R16" s="11">
        <f t="shared" si="3"/>
        <v>0</v>
      </c>
      <c r="S16" s="5"/>
      <c r="T16" s="5"/>
    </row>
    <row r="17" spans="1:20" x14ac:dyDescent="0.3">
      <c r="A17" s="13" t="s">
        <v>0</v>
      </c>
      <c r="B17" s="13" t="s">
        <v>0</v>
      </c>
      <c r="C17" s="69" t="s">
        <v>0</v>
      </c>
      <c r="D17" s="70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1">
        <f t="shared" si="3"/>
        <v>0</v>
      </c>
      <c r="S17" s="5"/>
      <c r="T17" s="5"/>
    </row>
    <row r="18" spans="1:20" x14ac:dyDescent="0.3">
      <c r="A18" s="69" t="s">
        <v>9</v>
      </c>
      <c r="B18" s="70"/>
      <c r="C18" s="70"/>
      <c r="D18" s="70"/>
      <c r="E18" s="8">
        <f>Nurmes!E18+Valtimo!E18</f>
        <v>-3448671.2100000004</v>
      </c>
      <c r="F18" s="8">
        <f>Nurmes!F18+Valtimo!F18</f>
        <v>-3673826.33</v>
      </c>
      <c r="G18" s="8">
        <f>Nurmes!G18+Valtimo!G18</f>
        <v>8570.3199999998324</v>
      </c>
      <c r="H18" s="8">
        <f>Nurmes!H18+Valtimo!H18</f>
        <v>3100137.96</v>
      </c>
      <c r="I18" s="8">
        <f>Nurmes!I18+Valtimo!I18</f>
        <v>-1241556.68</v>
      </c>
      <c r="J18" s="8">
        <f>Nurmes!J18+Valtimo!J18</f>
        <v>-5255345.9400000013</v>
      </c>
      <c r="K18" s="10">
        <f>K13+K9</f>
        <v>-2365331</v>
      </c>
      <c r="L18" s="10">
        <f t="shared" ref="L18:Q18" si="6">L13+L9</f>
        <v>218375.45090033114</v>
      </c>
      <c r="M18" s="10">
        <f t="shared" si="6"/>
        <v>-15528.6238489151</v>
      </c>
      <c r="N18" s="10">
        <f t="shared" si="6"/>
        <v>-585727.56356222928</v>
      </c>
      <c r="O18" s="10">
        <f t="shared" si="6"/>
        <v>-1820129.4582197815</v>
      </c>
      <c r="P18" s="10">
        <f t="shared" si="6"/>
        <v>-2664803.5180776864</v>
      </c>
      <c r="Q18" s="10">
        <f t="shared" si="6"/>
        <v>-2725342.7657703161</v>
      </c>
      <c r="R18" s="60">
        <f t="shared" ref="R18:R37" si="7">SUM(K18:Q18)</f>
        <v>-9958487.4785785973</v>
      </c>
      <c r="S18" s="19">
        <f>+R24-R44</f>
        <v>15063539.999999998</v>
      </c>
      <c r="T18" s="5"/>
    </row>
    <row r="19" spans="1:20" x14ac:dyDescent="0.3">
      <c r="A19" s="13" t="s">
        <v>0</v>
      </c>
      <c r="B19" s="13" t="s">
        <v>0</v>
      </c>
      <c r="C19" s="69" t="s">
        <v>0</v>
      </c>
      <c r="D19" s="70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0">
        <f t="shared" si="7"/>
        <v>0</v>
      </c>
      <c r="S19" s="19"/>
      <c r="T19" s="5"/>
    </row>
    <row r="20" spans="1:20" x14ac:dyDescent="0.3">
      <c r="A20" s="69" t="s">
        <v>10</v>
      </c>
      <c r="B20" s="70"/>
      <c r="C20" s="70"/>
      <c r="D20" s="70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60">
        <f t="shared" si="7"/>
        <v>0</v>
      </c>
      <c r="S20" s="5"/>
      <c r="T20" s="5"/>
    </row>
    <row r="21" spans="1:20" x14ac:dyDescent="0.3">
      <c r="A21" s="9" t="s">
        <v>0</v>
      </c>
      <c r="B21" s="72" t="s">
        <v>11</v>
      </c>
      <c r="C21" s="73"/>
      <c r="D21" s="73"/>
      <c r="E21" s="8">
        <f>Nurmes!E21+Valtimo!E21</f>
        <v>-593358.54</v>
      </c>
      <c r="F21" s="8">
        <f>Nurmes!F21+Valtimo!F21</f>
        <v>550164.92000000004</v>
      </c>
      <c r="G21" s="8">
        <f>Nurmes!G21+Valtimo!G21</f>
        <v>-619715.09</v>
      </c>
      <c r="H21" s="8">
        <f>Nurmes!H21+Valtimo!H21</f>
        <v>-173600</v>
      </c>
      <c r="I21" s="8">
        <f>Nurmes!I21+Valtimo!I21</f>
        <v>589640.95999999996</v>
      </c>
      <c r="J21" s="8">
        <f>Nurmes!J21+Valtimo!J21</f>
        <v>-246867.75</v>
      </c>
      <c r="K21" s="11">
        <f>SUM(K22:K23)</f>
        <v>-1899000</v>
      </c>
      <c r="L21" s="11">
        <f t="shared" ref="L21:Q21" si="8">SUM(L22:L23)</f>
        <v>0</v>
      </c>
      <c r="M21" s="11">
        <f t="shared" si="8"/>
        <v>0</v>
      </c>
      <c r="N21" s="11">
        <f t="shared" si="8"/>
        <v>0</v>
      </c>
      <c r="O21" s="11">
        <f t="shared" si="8"/>
        <v>0</v>
      </c>
      <c r="P21" s="11">
        <f t="shared" si="8"/>
        <v>0</v>
      </c>
      <c r="Q21" s="11">
        <f t="shared" si="8"/>
        <v>0</v>
      </c>
      <c r="R21" s="60">
        <f t="shared" si="7"/>
        <v>-1899000</v>
      </c>
      <c r="S21" s="5"/>
      <c r="T21" s="5"/>
    </row>
    <row r="22" spans="1:20" x14ac:dyDescent="0.3">
      <c r="A22" s="12" t="s">
        <v>0</v>
      </c>
      <c r="B22" s="12" t="s">
        <v>0</v>
      </c>
      <c r="C22" s="71" t="s">
        <v>12</v>
      </c>
      <c r="D22" s="70"/>
      <c r="E22" s="8">
        <f>Nurmes!E22+Valtimo!E22</f>
        <v>-607110</v>
      </c>
      <c r="F22" s="8">
        <f>Nurmes!F22+Valtimo!F22</f>
        <v>-89403.82</v>
      </c>
      <c r="G22" s="8">
        <f>Nurmes!G22+Valtimo!G22</f>
        <v>-619715.09</v>
      </c>
      <c r="H22" s="8">
        <f>Nurmes!H22+Valtimo!H22</f>
        <v>-173600</v>
      </c>
      <c r="I22" s="8">
        <f>Nurmes!I22+Valtimo!I22</f>
        <v>-36044</v>
      </c>
      <c r="J22" s="8">
        <f>Nurmes!J22+Valtimo!J22</f>
        <v>-1525872.91</v>
      </c>
      <c r="K22" s="8">
        <f>[1]Rahoituslaskelma!K22+[2]Rahoituslaskelma!K22</f>
        <v>-1899000</v>
      </c>
      <c r="L22" s="8">
        <f>[1]Rahoituslaskelma!L22+[2]Rahoituslaskelma!L22</f>
        <v>0</v>
      </c>
      <c r="M22" s="8">
        <f>[1]Rahoituslaskelma!M22+[2]Rahoituslaskelma!M22</f>
        <v>0</v>
      </c>
      <c r="N22" s="8">
        <f>[1]Rahoituslaskelma!N22+[2]Rahoituslaskelma!N22</f>
        <v>0</v>
      </c>
      <c r="O22" s="8">
        <f>[1]Rahoituslaskelma!O22+[2]Rahoituslaskelma!O22</f>
        <v>0</v>
      </c>
      <c r="P22" s="8">
        <f>[1]Rahoituslaskelma!P22+[2]Rahoituslaskelma!P22</f>
        <v>0</v>
      </c>
      <c r="Q22" s="8">
        <f>[1]Rahoituslaskelma!Q22+[2]Rahoituslaskelma!Q22</f>
        <v>0</v>
      </c>
      <c r="R22" s="60">
        <f t="shared" si="7"/>
        <v>-1899000</v>
      </c>
      <c r="S22" s="5"/>
      <c r="T22" s="5"/>
    </row>
    <row r="23" spans="1:20" x14ac:dyDescent="0.3">
      <c r="A23" s="12"/>
      <c r="B23" s="12"/>
      <c r="C23" s="71" t="s">
        <v>13</v>
      </c>
      <c r="D23" s="70"/>
      <c r="E23" s="8">
        <f>Nurmes!E23+Valtimo!E23</f>
        <v>13751.46</v>
      </c>
      <c r="F23" s="8">
        <f>Nurmes!F23+Valtimo!F23</f>
        <v>639568.74</v>
      </c>
      <c r="G23" s="8">
        <f>Nurmes!G23+Valtimo!G23</f>
        <v>0</v>
      </c>
      <c r="H23" s="8">
        <v>0</v>
      </c>
      <c r="I23" s="8">
        <f>Nurmes!I23+Valtimo!I23</f>
        <v>625684.96</v>
      </c>
      <c r="J23" s="8">
        <f>Nurmes!J23+Valtimo!J23</f>
        <v>1279005.1599999999</v>
      </c>
      <c r="K23" s="8">
        <f>[1]Rahoituslaskelma!K23+[2]Rahoituslaskelma!K23</f>
        <v>0</v>
      </c>
      <c r="L23" s="8">
        <f>[1]Rahoituslaskelma!L23+[2]Rahoituslaskelma!L23</f>
        <v>0</v>
      </c>
      <c r="M23" s="8">
        <f>[1]Rahoituslaskelma!M23+[2]Rahoituslaskelma!M23</f>
        <v>0</v>
      </c>
      <c r="N23" s="8">
        <f>[1]Rahoituslaskelma!N23+[2]Rahoituslaskelma!N23</f>
        <v>0</v>
      </c>
      <c r="O23" s="8">
        <f>[1]Rahoituslaskelma!O23+[2]Rahoituslaskelma!O23</f>
        <v>0</v>
      </c>
      <c r="P23" s="8">
        <f>[1]Rahoituslaskelma!P23+[2]Rahoituslaskelma!P23</f>
        <v>0</v>
      </c>
      <c r="Q23" s="8">
        <f>[1]Rahoituslaskelma!Q23+[2]Rahoituslaskelma!Q23</f>
        <v>0</v>
      </c>
      <c r="R23" s="60">
        <f t="shared" si="7"/>
        <v>0</v>
      </c>
      <c r="S23" s="5" t="s">
        <v>43</v>
      </c>
      <c r="T23" s="5"/>
    </row>
    <row r="24" spans="1:20" x14ac:dyDescent="0.3">
      <c r="A24" s="9" t="s">
        <v>0</v>
      </c>
      <c r="B24" s="72" t="s">
        <v>14</v>
      </c>
      <c r="C24" s="73"/>
      <c r="D24" s="73"/>
      <c r="E24" s="8">
        <f>Nurmes!E24+Valtimo!E24</f>
        <v>3329535.0300000003</v>
      </c>
      <c r="F24" s="8">
        <f>Nurmes!F24+Valtimo!F24</f>
        <v>228358.62000000011</v>
      </c>
      <c r="G24" s="8">
        <f>Nurmes!G24+Valtimo!G24</f>
        <v>1096364.72</v>
      </c>
      <c r="H24" s="8">
        <f>Nurmes!H24+Valtimo!H24</f>
        <v>-2233326.94</v>
      </c>
      <c r="I24" s="8">
        <f>Nurmes!I24+Valtimo!I24</f>
        <v>-364924</v>
      </c>
      <c r="J24" s="8">
        <f>Nurmes!J24+Valtimo!J24</f>
        <v>2056007.4300000002</v>
      </c>
      <c r="K24" s="11">
        <f>K25+K26</f>
        <v>1892576</v>
      </c>
      <c r="L24" s="11">
        <f t="shared" ref="L24:Q24" si="9">L25+L26</f>
        <v>1574395.4209523806</v>
      </c>
      <c r="M24" s="11">
        <f t="shared" si="9"/>
        <v>1776554.4499047617</v>
      </c>
      <c r="N24" s="11">
        <f t="shared" si="9"/>
        <v>1428713.4788571424</v>
      </c>
      <c r="O24" s="11">
        <f t="shared" si="9"/>
        <v>1080872.5078095235</v>
      </c>
      <c r="P24" s="11">
        <f t="shared" si="9"/>
        <v>2533031.5367619041</v>
      </c>
      <c r="Q24" s="11">
        <f t="shared" si="9"/>
        <v>2885190.5657142852</v>
      </c>
      <c r="R24" s="60">
        <f t="shared" si="7"/>
        <v>13171333.959999997</v>
      </c>
      <c r="S24" s="20">
        <f>+J24+R25+R26+E63</f>
        <v>27268341.389999997</v>
      </c>
      <c r="T24" s="5"/>
    </row>
    <row r="25" spans="1:20" x14ac:dyDescent="0.3">
      <c r="A25" s="9"/>
      <c r="B25" s="14"/>
      <c r="C25" s="71" t="s">
        <v>15</v>
      </c>
      <c r="D25" s="70"/>
      <c r="E25" s="8">
        <f>Nurmes!E25+Valtimo!E25</f>
        <v>5342236</v>
      </c>
      <c r="F25" s="8">
        <f>Nurmes!F25+Valtimo!F25</f>
        <v>2500000</v>
      </c>
      <c r="G25" s="8">
        <f>Nurmes!G25+Valtimo!G25</f>
        <v>3000000</v>
      </c>
      <c r="H25" s="8">
        <f>Nurmes!H25+Valtimo!H25</f>
        <v>0</v>
      </c>
      <c r="I25" s="8">
        <f>Nurmes!I25+Valtimo!I25</f>
        <v>2000000</v>
      </c>
      <c r="J25" s="8">
        <f>Nurmes!J25+Valtimo!J25</f>
        <v>12842236</v>
      </c>
      <c r="K25" s="8">
        <f>[1]Rahoituslaskelma!K25+[2]Rahoituslaskelma!K25</f>
        <v>4000000</v>
      </c>
      <c r="L25" s="8">
        <f>[1]Rahoituslaskelma!L25+[2]Rahoituslaskelma!L25</f>
        <v>3956819.4209523806</v>
      </c>
      <c r="M25" s="8">
        <f>[1]Rahoituslaskelma!M25+[2]Rahoituslaskelma!M25</f>
        <v>3956819.4209523806</v>
      </c>
      <c r="N25" s="8">
        <f>[1]Rahoituslaskelma!N25+[2]Rahoituslaskelma!N25</f>
        <v>3956819.4209523806</v>
      </c>
      <c r="O25" s="8">
        <f>[1]Rahoituslaskelma!O25+[2]Rahoituslaskelma!O25</f>
        <v>3956819.4209523806</v>
      </c>
      <c r="P25" s="8">
        <f>[1]Rahoituslaskelma!P25+[2]Rahoituslaskelma!P25</f>
        <v>5956819.4209523806</v>
      </c>
      <c r="Q25" s="8">
        <f>[1]Rahoituslaskelma!Q25+[2]Rahoituslaskelma!Q25</f>
        <v>6956819.4209523806</v>
      </c>
      <c r="R25" s="60">
        <f t="shared" si="7"/>
        <v>32740916.525714282</v>
      </c>
      <c r="S25" s="21">
        <f>+S24/S13</f>
        <v>-0.41191641153131597</v>
      </c>
      <c r="T25" s="5"/>
    </row>
    <row r="26" spans="1:20" x14ac:dyDescent="0.3">
      <c r="A26" s="12" t="s">
        <v>0</v>
      </c>
      <c r="B26" s="12" t="s">
        <v>0</v>
      </c>
      <c r="C26" s="71" t="s">
        <v>16</v>
      </c>
      <c r="D26" s="70"/>
      <c r="E26" s="8">
        <f>Nurmes!E26+Valtimo!E26</f>
        <v>-2012700.97</v>
      </c>
      <c r="F26" s="8">
        <f>Nurmes!F26+Valtimo!F26</f>
        <v>-2271641.38</v>
      </c>
      <c r="G26" s="8">
        <f>Nurmes!G26+Valtimo!G26</f>
        <v>-1903635.28</v>
      </c>
      <c r="H26" s="8">
        <f>Nurmes!H26+Valtimo!H26</f>
        <v>-2233326.94</v>
      </c>
      <c r="I26" s="8">
        <f>Nurmes!I26+Valtimo!I26</f>
        <v>-2364924</v>
      </c>
      <c r="J26" s="8">
        <f>Nurmes!J26+Valtimo!J26</f>
        <v>-10786228.57</v>
      </c>
      <c r="K26" s="8">
        <f>[1]Rahoituslaskelma!K26+[2]Rahoituslaskelma!K26</f>
        <v>-2107424</v>
      </c>
      <c r="L26" s="8">
        <f>[1]Rahoituslaskelma!L26+[2]Rahoituslaskelma!L26</f>
        <v>-2382424</v>
      </c>
      <c r="M26" s="8">
        <f>[1]Rahoituslaskelma!M26+[2]Rahoituslaskelma!M26</f>
        <v>-2180264.9710476189</v>
      </c>
      <c r="N26" s="8">
        <f>[1]Rahoituslaskelma!N26+[2]Rahoituslaskelma!N26</f>
        <v>-2528105.9420952382</v>
      </c>
      <c r="O26" s="8">
        <f>[1]Rahoituslaskelma!O26+[2]Rahoituslaskelma!O26</f>
        <v>-2875946.9131428571</v>
      </c>
      <c r="P26" s="8">
        <f>[1]Rahoituslaskelma!P26+[2]Rahoituslaskelma!P26</f>
        <v>-3423787.8841904765</v>
      </c>
      <c r="Q26" s="8">
        <f>[1]Rahoituslaskelma!Q26+[2]Rahoituslaskelma!Q26</f>
        <v>-4071628.8552380954</v>
      </c>
      <c r="R26" s="60">
        <f t="shared" si="7"/>
        <v>-19569582.565714289</v>
      </c>
      <c r="S26" s="5" t="s">
        <v>44</v>
      </c>
      <c r="T26" s="5"/>
    </row>
    <row r="27" spans="1:20" x14ac:dyDescent="0.3">
      <c r="A27" s="12"/>
      <c r="B27" s="12"/>
      <c r="C27" s="71" t="s">
        <v>17</v>
      </c>
      <c r="D27" s="70"/>
      <c r="E27" s="8">
        <f>Nurmes!E27+Valtimo!E27</f>
        <v>0</v>
      </c>
      <c r="F27" s="8">
        <f>Nurmes!F27+Valtimo!F27</f>
        <v>0</v>
      </c>
      <c r="G27" s="8">
        <f>Nurmes!G27+Valtimo!G27</f>
        <v>0</v>
      </c>
      <c r="H27" s="8">
        <f>Nurmes!H27+Valtimo!H27</f>
        <v>0</v>
      </c>
      <c r="I27" s="8">
        <f>Nurmes!I27+Valtimo!I27</f>
        <v>0</v>
      </c>
      <c r="J27" s="8">
        <f>Nurmes!J27+Valtimo!J27</f>
        <v>0</v>
      </c>
      <c r="K27" s="8">
        <f>[1]Rahoituslaskelma!K27+[2]Rahoituslaskelma!K27</f>
        <v>0</v>
      </c>
      <c r="L27" s="8">
        <f>[1]Rahoituslaskelma!L27+[2]Rahoituslaskelma!L27</f>
        <v>0</v>
      </c>
      <c r="M27" s="8">
        <f>[1]Rahoituslaskelma!M27+[2]Rahoituslaskelma!M27</f>
        <v>0</v>
      </c>
      <c r="N27" s="8">
        <f>[1]Rahoituslaskelma!N27+[2]Rahoituslaskelma!N27</f>
        <v>0</v>
      </c>
      <c r="O27" s="8">
        <f>[1]Rahoituslaskelma!O27+[2]Rahoituslaskelma!O27</f>
        <v>0</v>
      </c>
      <c r="P27" s="8">
        <f>[1]Rahoituslaskelma!P27+[2]Rahoituslaskelma!P27</f>
        <v>0</v>
      </c>
      <c r="Q27" s="8">
        <f>[1]Rahoituslaskelma!Q27+[2]Rahoituslaskelma!Q27</f>
        <v>0</v>
      </c>
      <c r="R27" s="60">
        <f t="shared" si="7"/>
        <v>0</v>
      </c>
      <c r="S27" s="5"/>
      <c r="T27" s="5"/>
    </row>
    <row r="28" spans="1:20" x14ac:dyDescent="0.3">
      <c r="A28" s="12"/>
      <c r="B28" s="72" t="s">
        <v>18</v>
      </c>
      <c r="C28" s="73"/>
      <c r="D28" s="73"/>
      <c r="E28" s="8">
        <f>Nurmes!E28+Valtimo!E28</f>
        <v>0</v>
      </c>
      <c r="F28" s="8">
        <f>Nurmes!F28+Valtimo!F28</f>
        <v>0</v>
      </c>
      <c r="G28" s="8">
        <f>Nurmes!G28+Valtimo!G28</f>
        <v>0</v>
      </c>
      <c r="H28" s="8">
        <f>Nurmes!H28+Valtimo!H28</f>
        <v>8299.2000000000007</v>
      </c>
      <c r="I28" s="8">
        <f>Nurmes!I28+Valtimo!I28</f>
        <v>0</v>
      </c>
      <c r="J28" s="8">
        <f>Nurmes!J28+Valtimo!J28</f>
        <v>8299.2000000000007</v>
      </c>
      <c r="K28" s="8">
        <f>[1]Rahoituslaskelma!K28+[2]Rahoituslaskelma!K28</f>
        <v>0</v>
      </c>
      <c r="L28" s="8">
        <f>[1]Rahoituslaskelma!L28+[2]Rahoituslaskelma!L28</f>
        <v>0</v>
      </c>
      <c r="M28" s="8">
        <f>[1]Rahoituslaskelma!M28+[2]Rahoituslaskelma!M28</f>
        <v>0</v>
      </c>
      <c r="N28" s="8">
        <f>[1]Rahoituslaskelma!N28+[2]Rahoituslaskelma!N28</f>
        <v>0</v>
      </c>
      <c r="O28" s="8">
        <f>[1]Rahoituslaskelma!O28+[2]Rahoituslaskelma!O28</f>
        <v>0</v>
      </c>
      <c r="P28" s="8">
        <f>[1]Rahoituslaskelma!P28+[2]Rahoituslaskelma!P28</f>
        <v>0</v>
      </c>
      <c r="Q28" s="8">
        <f>[1]Rahoituslaskelma!Q28+[2]Rahoituslaskelma!Q28</f>
        <v>0</v>
      </c>
      <c r="R28" s="60">
        <f t="shared" si="7"/>
        <v>0</v>
      </c>
      <c r="S28" s="5"/>
      <c r="T28" s="5"/>
    </row>
    <row r="29" spans="1:20" x14ac:dyDescent="0.3">
      <c r="A29" s="9" t="s">
        <v>0</v>
      </c>
      <c r="B29" s="72" t="s">
        <v>19</v>
      </c>
      <c r="C29" s="73"/>
      <c r="D29" s="73"/>
      <c r="E29" s="8">
        <f>Nurmes!E29+Valtimo!E29</f>
        <v>241183.41000000003</v>
      </c>
      <c r="F29" s="8">
        <f>Nurmes!F29+Valtimo!F29</f>
        <v>19809.5799999999</v>
      </c>
      <c r="G29" s="8">
        <f>Nurmes!G29+Valtimo!G29</f>
        <v>-1819502.3</v>
      </c>
      <c r="H29" s="8">
        <f>Nurmes!H29+Valtimo!H29</f>
        <v>-1304222.53</v>
      </c>
      <c r="I29" s="8">
        <f>Nurmes!I29+Valtimo!I29</f>
        <v>1208702.8600000001</v>
      </c>
      <c r="J29" s="8">
        <f>Nurmes!J29+Valtimo!J29</f>
        <v>-1654028.9799999997</v>
      </c>
      <c r="K29" s="8">
        <f>[1]Rahoituslaskelma!K29+[2]Rahoituslaskelma!K29</f>
        <v>0</v>
      </c>
      <c r="L29" s="8">
        <f>[1]Rahoituslaskelma!L29+[2]Rahoituslaskelma!L29</f>
        <v>0</v>
      </c>
      <c r="M29" s="8">
        <f>[1]Rahoituslaskelma!M29+[2]Rahoituslaskelma!M29</f>
        <v>0</v>
      </c>
      <c r="N29" s="8">
        <f>[1]Rahoituslaskelma!N29+[2]Rahoituslaskelma!N29</f>
        <v>0</v>
      </c>
      <c r="O29" s="8">
        <f>[1]Rahoituslaskelma!O29+[2]Rahoituslaskelma!O29</f>
        <v>0</v>
      </c>
      <c r="P29" s="8">
        <f>[1]Rahoituslaskelma!P29+[2]Rahoituslaskelma!P29</f>
        <v>0</v>
      </c>
      <c r="Q29" s="8">
        <f>[1]Rahoituslaskelma!Q29+[2]Rahoituslaskelma!Q29</f>
        <v>0</v>
      </c>
      <c r="R29" s="60">
        <f t="shared" si="7"/>
        <v>0</v>
      </c>
      <c r="S29" s="5"/>
      <c r="T29" s="5"/>
    </row>
    <row r="30" spans="1:20" x14ac:dyDescent="0.3">
      <c r="A30" s="12" t="s">
        <v>0</v>
      </c>
      <c r="B30" s="12" t="s">
        <v>0</v>
      </c>
      <c r="C30" s="71" t="s">
        <v>20</v>
      </c>
      <c r="D30" s="70"/>
      <c r="E30" s="8">
        <f>Nurmes!E30+Valtimo!E30</f>
        <v>72805.62</v>
      </c>
      <c r="F30" s="8">
        <f>Nurmes!F30+Valtimo!F30</f>
        <v>2851.03</v>
      </c>
      <c r="G30" s="8">
        <f>Nurmes!G30+Valtimo!G30</f>
        <v>-2133.52</v>
      </c>
      <c r="H30" s="8">
        <f>Nurmes!H30+Valtimo!H30</f>
        <v>-39419.99</v>
      </c>
      <c r="I30" s="8">
        <f>Nurmes!I30+Valtimo!I30</f>
        <v>-171</v>
      </c>
      <c r="J30" s="8">
        <f>Nurmes!J30+Valtimo!J30</f>
        <v>33932.139999999992</v>
      </c>
      <c r="K30" s="8">
        <f>[1]Rahoituslaskelma!K30+[2]Rahoituslaskelma!K30</f>
        <v>0</v>
      </c>
      <c r="L30" s="8">
        <f>[1]Rahoituslaskelma!L30+[2]Rahoituslaskelma!L30</f>
        <v>0</v>
      </c>
      <c r="M30" s="8">
        <f>[1]Rahoituslaskelma!M30+[2]Rahoituslaskelma!M30</f>
        <v>0</v>
      </c>
      <c r="N30" s="8">
        <f>[1]Rahoituslaskelma!N30+[2]Rahoituslaskelma!N30</f>
        <v>0</v>
      </c>
      <c r="O30" s="8">
        <f>[1]Rahoituslaskelma!O30+[2]Rahoituslaskelma!O30</f>
        <v>0</v>
      </c>
      <c r="P30" s="8">
        <f>[1]Rahoituslaskelma!P30+[2]Rahoituslaskelma!P30</f>
        <v>0</v>
      </c>
      <c r="Q30" s="8">
        <f>[1]Rahoituslaskelma!Q30+[2]Rahoituslaskelma!Q30</f>
        <v>0</v>
      </c>
      <c r="R30" s="60">
        <f t="shared" si="7"/>
        <v>0</v>
      </c>
      <c r="S30" s="5"/>
      <c r="T30" s="5"/>
    </row>
    <row r="31" spans="1:20" x14ac:dyDescent="0.3">
      <c r="A31" s="12" t="s">
        <v>0</v>
      </c>
      <c r="B31" s="12" t="s">
        <v>0</v>
      </c>
      <c r="C31" s="74" t="s">
        <v>21</v>
      </c>
      <c r="D31" s="70"/>
      <c r="E31" s="8">
        <f>Nurmes!E31+Valtimo!E31</f>
        <v>9805.02</v>
      </c>
      <c r="F31" s="8">
        <f>Nurmes!F31+Valtimo!F31</f>
        <v>3055.4</v>
      </c>
      <c r="G31" s="8">
        <f>Nurmes!G31+Valtimo!G31</f>
        <v>-575205.53</v>
      </c>
      <c r="H31" s="8">
        <f>Nurmes!H31+Valtimo!H31</f>
        <v>591941.44000000006</v>
      </c>
      <c r="I31" s="8">
        <f>Nurmes!I31+Valtimo!I31</f>
        <v>55877</v>
      </c>
      <c r="J31" s="8">
        <f>Nurmes!J31+Valtimo!J31</f>
        <v>85473.33</v>
      </c>
      <c r="K31" s="8">
        <f>[1]Rahoituslaskelma!K31+[2]Rahoituslaskelma!K31</f>
        <v>0</v>
      </c>
      <c r="L31" s="8">
        <f>[1]Rahoituslaskelma!L31+[2]Rahoituslaskelma!L31</f>
        <v>0</v>
      </c>
      <c r="M31" s="8">
        <f>[1]Rahoituslaskelma!M31+[2]Rahoituslaskelma!M31</f>
        <v>0</v>
      </c>
      <c r="N31" s="8">
        <f>[1]Rahoituslaskelma!N31+[2]Rahoituslaskelma!N31</f>
        <v>0</v>
      </c>
      <c r="O31" s="8">
        <f>[1]Rahoituslaskelma!O31+[2]Rahoituslaskelma!O31</f>
        <v>0</v>
      </c>
      <c r="P31" s="8">
        <f>[1]Rahoituslaskelma!P31+[2]Rahoituslaskelma!P31</f>
        <v>0</v>
      </c>
      <c r="Q31" s="8">
        <f>[1]Rahoituslaskelma!Q31+[2]Rahoituslaskelma!Q31</f>
        <v>0</v>
      </c>
      <c r="R31" s="60">
        <f t="shared" si="7"/>
        <v>0</v>
      </c>
      <c r="S31" s="5"/>
      <c r="T31" s="5"/>
    </row>
    <row r="32" spans="1:20" x14ac:dyDescent="0.3">
      <c r="A32" s="12" t="s">
        <v>0</v>
      </c>
      <c r="B32" s="12" t="s">
        <v>0</v>
      </c>
      <c r="C32" s="71" t="s">
        <v>22</v>
      </c>
      <c r="D32" s="70"/>
      <c r="E32" s="8">
        <f>Nurmes!E32+Valtimo!E32</f>
        <v>61836.360000000015</v>
      </c>
      <c r="F32" s="8">
        <f>Nurmes!F32+Valtimo!F32</f>
        <v>-513516.88000000006</v>
      </c>
      <c r="G32" s="8">
        <f>Nurmes!G32+Valtimo!G32</f>
        <v>-1316190.44</v>
      </c>
      <c r="H32" s="8">
        <f>Nurmes!H32+Valtimo!H32</f>
        <v>1973147.0799999998</v>
      </c>
      <c r="I32" s="8">
        <f>Nurmes!I32+Valtimo!I32</f>
        <v>538212.06000000006</v>
      </c>
      <c r="J32" s="8">
        <f>Nurmes!J32+Valtimo!J32</f>
        <v>743488.17999999993</v>
      </c>
      <c r="K32" s="8">
        <f>[1]Rahoituslaskelma!K32+[2]Rahoituslaskelma!K32</f>
        <v>0</v>
      </c>
      <c r="L32" s="8">
        <f>[1]Rahoituslaskelma!L32+[2]Rahoituslaskelma!L32</f>
        <v>0</v>
      </c>
      <c r="M32" s="8">
        <f>[1]Rahoituslaskelma!M32+[2]Rahoituslaskelma!M32</f>
        <v>0</v>
      </c>
      <c r="N32" s="8">
        <f>[1]Rahoituslaskelma!N32+[2]Rahoituslaskelma!N32</f>
        <v>0</v>
      </c>
      <c r="O32" s="8">
        <f>[1]Rahoituslaskelma!O32+[2]Rahoituslaskelma!O32</f>
        <v>0</v>
      </c>
      <c r="P32" s="8">
        <f>[1]Rahoituslaskelma!P32+[2]Rahoituslaskelma!P32</f>
        <v>0</v>
      </c>
      <c r="Q32" s="8">
        <f>[1]Rahoituslaskelma!Q32+[2]Rahoituslaskelma!Q32</f>
        <v>0</v>
      </c>
      <c r="R32" s="60">
        <f t="shared" si="7"/>
        <v>0</v>
      </c>
      <c r="S32" s="5"/>
      <c r="T32" s="5"/>
    </row>
    <row r="33" spans="1:20" x14ac:dyDescent="0.3">
      <c r="A33" s="12" t="s">
        <v>0</v>
      </c>
      <c r="B33" s="12" t="s">
        <v>0</v>
      </c>
      <c r="C33" s="71" t="s">
        <v>23</v>
      </c>
      <c r="D33" s="70"/>
      <c r="E33" s="8">
        <f>Nurmes!E33+Valtimo!E33</f>
        <v>96736.41</v>
      </c>
      <c r="F33" s="8">
        <f>Nurmes!F33+Valtimo!F33</f>
        <v>527420.02999999991</v>
      </c>
      <c r="G33" s="8">
        <f>Nurmes!G33+Valtimo!G33</f>
        <v>74027.189999999944</v>
      </c>
      <c r="H33" s="8">
        <f>Nurmes!H33+Valtimo!H33</f>
        <v>-3829891.0599999996</v>
      </c>
      <c r="I33" s="8">
        <f>Nurmes!I33+Valtimo!I33</f>
        <v>614784.80000000005</v>
      </c>
      <c r="J33" s="8">
        <f>Nurmes!J33+Valtimo!J33</f>
        <v>-2516922.63</v>
      </c>
      <c r="K33" s="8">
        <f>[1]Rahoituslaskelma!K33+[2]Rahoituslaskelma!K33</f>
        <v>0</v>
      </c>
      <c r="L33" s="8">
        <f>[1]Rahoituslaskelma!L33+[2]Rahoituslaskelma!L33</f>
        <v>0</v>
      </c>
      <c r="M33" s="8">
        <f>[1]Rahoituslaskelma!M33+[2]Rahoituslaskelma!M33</f>
        <v>0</v>
      </c>
      <c r="N33" s="8">
        <f>[1]Rahoituslaskelma!N33+[2]Rahoituslaskelma!N33</f>
        <v>0</v>
      </c>
      <c r="O33" s="8">
        <f>[1]Rahoituslaskelma!O33+[2]Rahoituslaskelma!O33</f>
        <v>0</v>
      </c>
      <c r="P33" s="8">
        <f>[1]Rahoituslaskelma!P33+[2]Rahoituslaskelma!P33</f>
        <v>0</v>
      </c>
      <c r="Q33" s="8">
        <f>[1]Rahoituslaskelma!Q33+[2]Rahoituslaskelma!Q33</f>
        <v>0</v>
      </c>
      <c r="R33" s="60">
        <f t="shared" si="7"/>
        <v>0</v>
      </c>
      <c r="S33" s="5"/>
      <c r="T33" s="5"/>
    </row>
    <row r="34" spans="1:20" x14ac:dyDescent="0.3">
      <c r="A34" s="13" t="s">
        <v>0</v>
      </c>
      <c r="B34" s="13" t="s">
        <v>0</v>
      </c>
      <c r="C34" s="69" t="s">
        <v>0</v>
      </c>
      <c r="D34" s="70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60">
        <f t="shared" si="7"/>
        <v>0</v>
      </c>
      <c r="S34" s="5"/>
      <c r="T34" s="5"/>
    </row>
    <row r="35" spans="1:20" x14ac:dyDescent="0.3">
      <c r="A35" s="69" t="s">
        <v>10</v>
      </c>
      <c r="B35" s="70"/>
      <c r="C35" s="70"/>
      <c r="D35" s="70"/>
      <c r="E35" s="8">
        <f>Nurmes!E35+Valtimo!E35</f>
        <v>2977359.9</v>
      </c>
      <c r="F35" s="8">
        <f>Nurmes!F35+Valtimo!F35</f>
        <v>1084080.9300000002</v>
      </c>
      <c r="G35" s="8">
        <f>Nurmes!G35+Valtimo!G35</f>
        <v>-1674460.9100000006</v>
      </c>
      <c r="H35" s="8">
        <f>Nurmes!H35+Valtimo!H35</f>
        <v>-3702850.27</v>
      </c>
      <c r="I35" s="8">
        <f>Nurmes!I35+Valtimo!I35</f>
        <v>1433419.82</v>
      </c>
      <c r="J35" s="8">
        <f>Nurmes!J35+Valtimo!J35</f>
        <v>117549.46999999927</v>
      </c>
      <c r="K35" s="10">
        <f>K21+K24</f>
        <v>-6424</v>
      </c>
      <c r="L35" s="10">
        <f t="shared" ref="L35:Q35" si="10">L21+L24</f>
        <v>1574395.4209523806</v>
      </c>
      <c r="M35" s="10">
        <f t="shared" si="10"/>
        <v>1776554.4499047617</v>
      </c>
      <c r="N35" s="10">
        <f t="shared" si="10"/>
        <v>1428713.4788571424</v>
      </c>
      <c r="O35" s="10">
        <f t="shared" si="10"/>
        <v>1080872.5078095235</v>
      </c>
      <c r="P35" s="10">
        <f t="shared" si="10"/>
        <v>2533031.5367619041</v>
      </c>
      <c r="Q35" s="10">
        <f t="shared" si="10"/>
        <v>2885190.5657142852</v>
      </c>
      <c r="R35" s="60">
        <f t="shared" si="7"/>
        <v>11272333.959999997</v>
      </c>
      <c r="S35" s="5"/>
      <c r="T35" s="5"/>
    </row>
    <row r="36" spans="1:20" x14ac:dyDescent="0.3">
      <c r="A36" s="13" t="s">
        <v>0</v>
      </c>
      <c r="B36" s="13" t="s">
        <v>0</v>
      </c>
      <c r="C36" s="69" t="s">
        <v>0</v>
      </c>
      <c r="D36" s="70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60">
        <f t="shared" si="7"/>
        <v>0</v>
      </c>
      <c r="S36" s="5"/>
      <c r="T36" s="5"/>
    </row>
    <row r="37" spans="1:20" x14ac:dyDescent="0.3">
      <c r="A37" s="69" t="s">
        <v>24</v>
      </c>
      <c r="B37" s="70"/>
      <c r="C37" s="70"/>
      <c r="D37" s="70"/>
      <c r="E37" s="8">
        <f>Nurmes!E37+Valtimo!E37</f>
        <v>-471311.31000000052</v>
      </c>
      <c r="F37" s="8">
        <f>Nurmes!F37+Valtimo!F37</f>
        <v>-2589745.4</v>
      </c>
      <c r="G37" s="8">
        <f>Nurmes!G37+Valtimo!G37</f>
        <v>-1665890.5900000008</v>
      </c>
      <c r="H37" s="8">
        <f>Nurmes!H37+Valtimo!H37</f>
        <v>-602712.31000000006</v>
      </c>
      <c r="I37" s="8">
        <f>Nurmes!I37+Valtimo!I37</f>
        <v>191863.14000000013</v>
      </c>
      <c r="J37" s="8">
        <f>Nurmes!J37+Valtimo!J37</f>
        <v>-5137796.4700000016</v>
      </c>
      <c r="K37" s="10">
        <f>K35+K18</f>
        <v>-2371755</v>
      </c>
      <c r="L37" s="10">
        <f t="shared" ref="L37:Q37" si="11">L35+L18</f>
        <v>1792770.8718527118</v>
      </c>
      <c r="M37" s="10">
        <f t="shared" si="11"/>
        <v>1761025.8260558466</v>
      </c>
      <c r="N37" s="10">
        <f t="shared" si="11"/>
        <v>842985.91529491311</v>
      </c>
      <c r="O37" s="10">
        <f t="shared" si="11"/>
        <v>-739256.95041025802</v>
      </c>
      <c r="P37" s="10">
        <f>P35+P18</f>
        <v>-131771.98131578229</v>
      </c>
      <c r="Q37" s="10">
        <f t="shared" si="11"/>
        <v>159847.79994396912</v>
      </c>
      <c r="R37" s="60">
        <f t="shared" si="7"/>
        <v>1313846.4814214003</v>
      </c>
      <c r="S37" s="18"/>
      <c r="T37" s="5"/>
    </row>
    <row r="38" spans="1:20" x14ac:dyDescent="0.3">
      <c r="A38" s="15"/>
      <c r="B38" s="15"/>
      <c r="C38" s="15"/>
      <c r="D38" s="15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60"/>
      <c r="S38" s="5"/>
      <c r="T38" s="5"/>
    </row>
    <row r="39" spans="1:20" x14ac:dyDescent="0.3">
      <c r="A39" s="15"/>
      <c r="B39" s="15"/>
      <c r="C39" s="15"/>
      <c r="D39" s="15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60"/>
      <c r="S39" s="5"/>
      <c r="T39" s="5"/>
    </row>
    <row r="40" spans="1:20" x14ac:dyDescent="0.3">
      <c r="A40" s="16"/>
      <c r="B40" s="16"/>
      <c r="C40" s="16" t="s">
        <v>25</v>
      </c>
      <c r="D40" s="16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60"/>
      <c r="S40" s="5" t="s">
        <v>45</v>
      </c>
      <c r="T40" s="5"/>
    </row>
    <row r="41" spans="1:20" x14ac:dyDescent="0.3">
      <c r="A41" s="13"/>
      <c r="B41" s="16"/>
      <c r="C41" s="16" t="s">
        <v>26</v>
      </c>
      <c r="D41" s="13"/>
      <c r="E41" s="8">
        <f>Nurmes!E41+Valtimo!E41</f>
        <v>8491551.629999999</v>
      </c>
      <c r="F41" s="8">
        <f>Nurmes!F41+Valtimo!F41</f>
        <v>5616058.4199999999</v>
      </c>
      <c r="G41" s="8">
        <f>Nurmes!G41+Valtimo!G41</f>
        <v>4281776.07</v>
      </c>
      <c r="H41" s="8">
        <f>Nurmes!H41+Valtimo!H41</f>
        <v>3679063.76</v>
      </c>
      <c r="I41" s="8">
        <f>Nurmes!I41+Valtimo!I41</f>
        <v>3870927.04</v>
      </c>
      <c r="J41" s="8">
        <f>Nurmes!J41+Valtimo!J41</f>
        <v>0</v>
      </c>
      <c r="K41" s="30">
        <f>K42+K37</f>
        <v>1499172.04</v>
      </c>
      <c r="L41" s="30">
        <f>L42+L37</f>
        <v>3291942.9118527118</v>
      </c>
      <c r="M41" s="30">
        <f t="shared" ref="M41:Q41" si="12">M42+M37</f>
        <v>5052968.7379085589</v>
      </c>
      <c r="N41" s="30">
        <f t="shared" si="12"/>
        <v>5895954.6532034725</v>
      </c>
      <c r="O41" s="30">
        <f t="shared" si="12"/>
        <v>5156697.7027932145</v>
      </c>
      <c r="P41" s="30">
        <f t="shared" si="12"/>
        <v>5024925.7214774322</v>
      </c>
      <c r="Q41" s="30">
        <f t="shared" si="12"/>
        <v>5184773.5214214008</v>
      </c>
      <c r="R41" s="60"/>
      <c r="S41" s="18">
        <f>+Q41/Q54</f>
        <v>575.51043638821193</v>
      </c>
      <c r="T41" s="5"/>
    </row>
    <row r="42" spans="1:20" x14ac:dyDescent="0.3">
      <c r="A42" s="16"/>
      <c r="B42" s="16"/>
      <c r="C42" s="16" t="s">
        <v>27</v>
      </c>
      <c r="D42" s="13"/>
      <c r="E42" s="8">
        <f>Nurmes!E42+Valtimo!E42</f>
        <v>8962862.9399999995</v>
      </c>
      <c r="F42" s="8">
        <f>Nurmes!F42+Valtimo!F42</f>
        <v>8491551.629999999</v>
      </c>
      <c r="G42" s="8">
        <f>Nurmes!G42+Valtimo!G42</f>
        <v>5616085.4199999999</v>
      </c>
      <c r="H42" s="8">
        <f>Nurmes!H42+Valtimo!H42</f>
        <v>4281776.07</v>
      </c>
      <c r="I42" s="8">
        <f>Nurmes!I42+Valtimo!I42</f>
        <v>3679063.9</v>
      </c>
      <c r="J42" s="8">
        <f>Nurmes!J42+Valtimo!J42</f>
        <v>0</v>
      </c>
      <c r="K42" s="30">
        <f>I41</f>
        <v>3870927.04</v>
      </c>
      <c r="L42" s="30">
        <f>K41</f>
        <v>1499172.04</v>
      </c>
      <c r="M42" s="30">
        <f t="shared" ref="M42:Q42" si="13">L41</f>
        <v>3291942.9118527118</v>
      </c>
      <c r="N42" s="30">
        <f t="shared" si="13"/>
        <v>5052968.7379085589</v>
      </c>
      <c r="O42" s="30">
        <f t="shared" si="13"/>
        <v>5895954.6532034725</v>
      </c>
      <c r="P42" s="30">
        <f t="shared" si="13"/>
        <v>5156697.7027932145</v>
      </c>
      <c r="Q42" s="30">
        <f t="shared" si="13"/>
        <v>5024925.7214774322</v>
      </c>
      <c r="R42" s="60"/>
      <c r="S42" s="5"/>
      <c r="T42" s="5"/>
    </row>
    <row r="43" spans="1:20" x14ac:dyDescent="0.3">
      <c r="A43" s="15"/>
      <c r="B43" s="15"/>
      <c r="C43" s="15"/>
      <c r="D43" s="15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61"/>
      <c r="S43" s="5"/>
      <c r="T43" s="5"/>
    </row>
    <row r="44" spans="1:20" x14ac:dyDescent="0.3">
      <c r="A44" s="15"/>
      <c r="B44" s="15"/>
      <c r="C44" s="17" t="s">
        <v>25</v>
      </c>
      <c r="D44" s="15"/>
      <c r="E44" s="8">
        <f>Nurmes!E44+Valtimo!E44</f>
        <v>-471311.31000000006</v>
      </c>
      <c r="F44" s="8">
        <f>Nurmes!F44+Valtimo!F44</f>
        <v>-2875493.21</v>
      </c>
      <c r="G44" s="8">
        <f>Nurmes!G44+Valtimo!G44</f>
        <v>-1334309.3499999999</v>
      </c>
      <c r="H44" s="8">
        <f>Nurmes!H44+Valtimo!H44</f>
        <v>-602712.31000000029</v>
      </c>
      <c r="I44" s="8">
        <f>Nurmes!I44+Valtimo!I44</f>
        <v>191863.14000000013</v>
      </c>
      <c r="J44" s="8">
        <f>Nurmes!J44+Valtimo!J44</f>
        <v>-5091963.0399999991</v>
      </c>
      <c r="K44" s="10">
        <f>(K41-K42)</f>
        <v>-2371755</v>
      </c>
      <c r="L44" s="10">
        <f>(L41-L42)</f>
        <v>1792770.8718527118</v>
      </c>
      <c r="M44" s="10">
        <f t="shared" ref="M44:Q44" si="14">(M41-M42)</f>
        <v>1761025.8260558471</v>
      </c>
      <c r="N44" s="10">
        <f t="shared" si="14"/>
        <v>842985.91529491358</v>
      </c>
      <c r="O44" s="10">
        <f t="shared" si="14"/>
        <v>-739256.95041025802</v>
      </c>
      <c r="P44" s="10">
        <f t="shared" si="14"/>
        <v>-131771.98131578229</v>
      </c>
      <c r="Q44" s="10">
        <f t="shared" si="14"/>
        <v>159847.79994396865</v>
      </c>
      <c r="R44" s="61">
        <f>[1]Rahoituslaskelma!R44+[2]Rahoituslaskelma!R44</f>
        <v>-1892206.040000001</v>
      </c>
      <c r="S44" s="5"/>
      <c r="T44" s="5"/>
    </row>
    <row r="45" spans="1:20" x14ac:dyDescent="0.3">
      <c r="A45" s="5"/>
      <c r="B45" s="5"/>
      <c r="C45" s="5"/>
      <c r="D45" s="5"/>
    </row>
    <row r="46" spans="1:20" x14ac:dyDescent="0.3">
      <c r="A46" s="5"/>
      <c r="B46" s="5"/>
      <c r="C46" s="5"/>
      <c r="D46" s="5"/>
    </row>
    <row r="47" spans="1:20" x14ac:dyDescent="0.3">
      <c r="A47" s="5"/>
      <c r="B47" s="5"/>
      <c r="C47" s="5"/>
      <c r="D47" s="5"/>
    </row>
    <row r="48" spans="1:20" x14ac:dyDescent="0.3">
      <c r="A48" s="5"/>
      <c r="B48" s="5"/>
      <c r="C48" s="5" t="s">
        <v>28</v>
      </c>
      <c r="D48" s="5"/>
      <c r="E48" s="6">
        <f>+E14</f>
        <v>-8895318.870000001</v>
      </c>
      <c r="F48" s="6">
        <f>+E48+F14</f>
        <v>-17956968.16</v>
      </c>
      <c r="G48" s="6">
        <f t="shared" ref="G48:I49" si="15">+F48+G14</f>
        <v>-23029984.210000001</v>
      </c>
      <c r="H48" s="6">
        <f t="shared" si="15"/>
        <v>-31833859.600000001</v>
      </c>
      <c r="I48" s="6">
        <f t="shared" si="15"/>
        <v>-40039651.93</v>
      </c>
      <c r="J48" s="6"/>
      <c r="K48" s="6">
        <f>+I48+K14</f>
        <v>-46639651.93</v>
      </c>
      <c r="L48" s="6">
        <f>+K48+L14</f>
        <v>-51434651.93</v>
      </c>
      <c r="M48" s="6">
        <f t="shared" ref="M48:Q48" si="16">+L48+M14</f>
        <v>-56459651.93</v>
      </c>
      <c r="N48" s="6">
        <f t="shared" si="16"/>
        <v>-60959651.93</v>
      </c>
      <c r="O48" s="6">
        <f t="shared" si="16"/>
        <v>-65459651.93</v>
      </c>
      <c r="P48" s="6">
        <f t="shared" si="16"/>
        <v>-69959651.930000007</v>
      </c>
      <c r="Q48" s="6">
        <f t="shared" si="16"/>
        <v>-74459651.930000007</v>
      </c>
    </row>
    <row r="49" spans="1:17" x14ac:dyDescent="0.3">
      <c r="A49" s="5"/>
      <c r="B49" s="5"/>
      <c r="C49" s="5" t="s">
        <v>29</v>
      </c>
      <c r="D49" s="5"/>
      <c r="E49" s="6">
        <f>+E15</f>
        <v>1631292.91</v>
      </c>
      <c r="F49" s="6">
        <f>+E49+F15</f>
        <v>3128553.19</v>
      </c>
      <c r="G49" s="6">
        <f t="shared" si="15"/>
        <v>3421067.46</v>
      </c>
      <c r="H49" s="6">
        <f t="shared" si="15"/>
        <v>3805266.96</v>
      </c>
      <c r="I49" s="6">
        <f t="shared" si="15"/>
        <v>4189668.4</v>
      </c>
      <c r="J49" s="6"/>
      <c r="K49" s="6">
        <f t="shared" ref="K49:K50" si="17">+I49+K15</f>
        <v>4489668.4000000004</v>
      </c>
      <c r="L49" s="6">
        <f t="shared" ref="L49:Q50" si="18">+K49+L15</f>
        <v>4864668.4000000004</v>
      </c>
      <c r="M49" s="6">
        <f t="shared" si="18"/>
        <v>5239668.4000000004</v>
      </c>
      <c r="N49" s="6">
        <f t="shared" si="18"/>
        <v>5239668.4000000004</v>
      </c>
      <c r="O49" s="6">
        <f t="shared" si="18"/>
        <v>5239668.4000000004</v>
      </c>
      <c r="P49" s="6">
        <f t="shared" si="18"/>
        <v>5239668.4000000004</v>
      </c>
      <c r="Q49" s="6">
        <f t="shared" si="18"/>
        <v>5239668.4000000004</v>
      </c>
    </row>
    <row r="50" spans="1:17" x14ac:dyDescent="0.3">
      <c r="A50" s="5"/>
      <c r="B50" s="5"/>
      <c r="C50" s="5" t="s">
        <v>30</v>
      </c>
      <c r="D50" s="5"/>
      <c r="E50" s="6">
        <f>+E48+E49</f>
        <v>-7264025.9600000009</v>
      </c>
      <c r="F50" s="6">
        <f t="shared" ref="F50:I50" si="19">+F48+F49</f>
        <v>-14828414.970000001</v>
      </c>
      <c r="G50" s="6">
        <f t="shared" si="19"/>
        <v>-19608916.75</v>
      </c>
      <c r="H50" s="6">
        <f t="shared" si="19"/>
        <v>-28028592.640000001</v>
      </c>
      <c r="I50" s="6">
        <f t="shared" si="19"/>
        <v>-35849983.530000001</v>
      </c>
      <c r="J50" s="6"/>
      <c r="K50" s="6">
        <f t="shared" si="17"/>
        <v>-35849983.530000001</v>
      </c>
      <c r="L50" s="6">
        <f t="shared" si="18"/>
        <v>-35849983.530000001</v>
      </c>
      <c r="M50" s="6">
        <f t="shared" si="18"/>
        <v>-35849983.530000001</v>
      </c>
      <c r="N50" s="6">
        <f t="shared" si="18"/>
        <v>-35849983.530000001</v>
      </c>
      <c r="O50" s="6">
        <f t="shared" si="18"/>
        <v>-35849983.530000001</v>
      </c>
      <c r="P50" s="6">
        <f t="shared" si="18"/>
        <v>-35849983.530000001</v>
      </c>
      <c r="Q50" s="6">
        <f t="shared" si="18"/>
        <v>-35849983.530000001</v>
      </c>
    </row>
    <row r="51" spans="1:17" x14ac:dyDescent="0.3">
      <c r="A51" s="5"/>
      <c r="B51" s="5"/>
      <c r="C51" s="5" t="s">
        <v>31</v>
      </c>
      <c r="D51" s="5"/>
      <c r="E51" s="6">
        <f>+E25+E63</f>
        <v>17383236</v>
      </c>
      <c r="F51" s="6">
        <f>+E51+F25</f>
        <v>19883236</v>
      </c>
      <c r="G51" s="6">
        <f>+F51+G25</f>
        <v>22883236</v>
      </c>
      <c r="H51" s="6">
        <f>+G51+H25</f>
        <v>22883236</v>
      </c>
      <c r="I51" s="6">
        <f>+H51+I25</f>
        <v>24883236</v>
      </c>
      <c r="J51" s="7"/>
      <c r="K51" s="6">
        <f>+I51+K25</f>
        <v>28883236</v>
      </c>
      <c r="L51" s="6">
        <f>+K51+L25</f>
        <v>32840055.42095238</v>
      </c>
      <c r="M51" s="6">
        <f t="shared" ref="M51:Q51" si="20">+L51+M25</f>
        <v>36796874.841904759</v>
      </c>
      <c r="N51" s="6">
        <f t="shared" si="20"/>
        <v>40753694.262857139</v>
      </c>
      <c r="O51" s="6">
        <f t="shared" si="20"/>
        <v>44710513.683809519</v>
      </c>
      <c r="P51" s="6">
        <f t="shared" si="20"/>
        <v>50667333.104761899</v>
      </c>
      <c r="Q51" s="6">
        <f t="shared" si="20"/>
        <v>57624152.525714278</v>
      </c>
    </row>
    <row r="52" spans="1:17" x14ac:dyDescent="0.3">
      <c r="A52" s="5"/>
      <c r="B52" s="5"/>
      <c r="C52" s="5" t="s">
        <v>32</v>
      </c>
      <c r="D52" s="5"/>
      <c r="E52" s="6">
        <f>+E25+E26+E27+E63</f>
        <v>15370535.030000001</v>
      </c>
      <c r="F52" s="6">
        <f>+E52+F25+F26+F27</f>
        <v>15598893.650000002</v>
      </c>
      <c r="G52" s="6">
        <f t="shared" ref="G52:I52" si="21">+F52+G25+G26+G27</f>
        <v>16695258.370000003</v>
      </c>
      <c r="H52" s="6">
        <f t="shared" si="21"/>
        <v>14461931.430000003</v>
      </c>
      <c r="I52" s="6">
        <f t="shared" si="21"/>
        <v>14097007.430000003</v>
      </c>
      <c r="J52" s="7"/>
      <c r="K52" s="6">
        <f>+I52+K25+K26+K27</f>
        <v>15989583.430000003</v>
      </c>
      <c r="L52" s="6">
        <f>+K52+L25+L26+L27</f>
        <v>17563978.850952383</v>
      </c>
      <c r="M52" s="6">
        <f t="shared" ref="M52:Q52" si="22">+L52+M25+M26+M27</f>
        <v>19340533.300857145</v>
      </c>
      <c r="N52" s="6">
        <f t="shared" si="22"/>
        <v>20769246.779714286</v>
      </c>
      <c r="O52" s="6">
        <f t="shared" si="22"/>
        <v>21850119.28752381</v>
      </c>
      <c r="P52" s="6">
        <f t="shared" si="22"/>
        <v>24383150.824285712</v>
      </c>
      <c r="Q52" s="6">
        <f>+P52+Q25+Q26+Q27</f>
        <v>27268341.389999997</v>
      </c>
    </row>
    <row r="53" spans="1:17" x14ac:dyDescent="0.3">
      <c r="A53" s="5"/>
      <c r="B53" s="5"/>
      <c r="C53" s="5" t="s">
        <v>33</v>
      </c>
      <c r="D53" s="5"/>
      <c r="E53" s="6">
        <f>-E44</f>
        <v>471311.31000000006</v>
      </c>
      <c r="F53" s="6">
        <f>+E53-F44</f>
        <v>3346804.52</v>
      </c>
      <c r="G53" s="6">
        <f>+F53-G44</f>
        <v>4681113.87</v>
      </c>
      <c r="H53" s="6">
        <f>+G53-H44</f>
        <v>5283826.1800000006</v>
      </c>
      <c r="I53" s="6">
        <f>+H53-I44</f>
        <v>5091963.040000001</v>
      </c>
      <c r="J53" s="7"/>
      <c r="K53" s="6">
        <f>+I53-K44</f>
        <v>7463718.040000001</v>
      </c>
      <c r="L53" s="6">
        <f>+K53-L44</f>
        <v>5670947.1681472892</v>
      </c>
      <c r="M53" s="6">
        <f t="shared" ref="M53:Q53" si="23">+L53-M44</f>
        <v>3909921.3420914421</v>
      </c>
      <c r="N53" s="6">
        <f t="shared" si="23"/>
        <v>3066935.4267965285</v>
      </c>
      <c r="O53" s="6">
        <f t="shared" si="23"/>
        <v>3806192.3772067865</v>
      </c>
      <c r="P53" s="6">
        <f t="shared" si="23"/>
        <v>3937964.3585225688</v>
      </c>
      <c r="Q53" s="6">
        <f t="shared" si="23"/>
        <v>3778116.5585786002</v>
      </c>
    </row>
    <row r="54" spans="1:17" x14ac:dyDescent="0.3">
      <c r="A54" s="5"/>
      <c r="B54" s="5"/>
      <c r="C54" s="5" t="s">
        <v>34</v>
      </c>
      <c r="D54" s="5"/>
      <c r="E54" s="6">
        <f>[1]Rahoituslaskelma!E54+[2]Rahoituslaskelma!E54</f>
        <v>10442</v>
      </c>
      <c r="F54" s="6">
        <f>[1]Rahoituslaskelma!F54+[2]Rahoituslaskelma!F54</f>
        <v>10322</v>
      </c>
      <c r="G54" s="6">
        <f>[1]Rahoituslaskelma!G54+[2]Rahoituslaskelma!G54</f>
        <v>10130</v>
      </c>
      <c r="H54" s="6">
        <f>[1]Rahoituslaskelma!H54+[2]Rahoituslaskelma!H54</f>
        <v>9984</v>
      </c>
      <c r="I54" s="6">
        <f>[1]Rahoituslaskelma!I54+[2]Rahoituslaskelma!I54</f>
        <v>9814</v>
      </c>
      <c r="J54" s="6">
        <f>[1]Rahoituslaskelma!J54+[2]Rahoituslaskelma!J54</f>
        <v>0</v>
      </c>
      <c r="K54" s="6">
        <f>[1]Rahoituslaskelma!K54+[2]Rahoituslaskelma!K54</f>
        <v>9691</v>
      </c>
      <c r="L54" s="6">
        <f>[1]Rahoituslaskelma!L54+[2]Rahoituslaskelma!L54</f>
        <v>9570</v>
      </c>
      <c r="M54" s="6">
        <f>[1]Rahoituslaskelma!M54+[2]Rahoituslaskelma!M54</f>
        <v>9452</v>
      </c>
      <c r="N54" s="6">
        <f>[1]Rahoituslaskelma!N54+[2]Rahoituslaskelma!N54</f>
        <v>9336</v>
      </c>
      <c r="O54" s="6">
        <f>[1]Rahoituslaskelma!O54+[2]Rahoituslaskelma!O54</f>
        <v>9225</v>
      </c>
      <c r="P54" s="6">
        <f>[1]Rahoituslaskelma!P54+[2]Rahoituslaskelma!P54</f>
        <v>9117</v>
      </c>
      <c r="Q54" s="6">
        <f>[1]Rahoituslaskelma!Q54+[2]Rahoituslaskelma!Q54</f>
        <v>9009</v>
      </c>
    </row>
    <row r="55" spans="1:17" x14ac:dyDescent="0.3">
      <c r="A55" s="5"/>
      <c r="B55" s="5"/>
      <c r="C55" s="5" t="s">
        <v>35</v>
      </c>
      <c r="D55" s="5"/>
      <c r="E55" s="6">
        <f>-E48/E54</f>
        <v>851.87884217582848</v>
      </c>
      <c r="F55" s="6">
        <f>-F48/F54</f>
        <v>1739.6791474520442</v>
      </c>
      <c r="G55" s="6">
        <f>-G48/G54</f>
        <v>2273.4436535044424</v>
      </c>
      <c r="H55" s="6">
        <f>-H48/H54</f>
        <v>3188.4875400641026</v>
      </c>
      <c r="I55" s="6">
        <f>-I48/I54</f>
        <v>4079.8504106378641</v>
      </c>
      <c r="J55" s="6"/>
      <c r="K55" s="6">
        <f>-K48/K54</f>
        <v>4812.6769095036634</v>
      </c>
      <c r="L55" s="6">
        <f t="shared" ref="L55:L57" si="24">+K55-40</f>
        <v>4772.6769095036634</v>
      </c>
      <c r="M55" s="6">
        <f t="shared" ref="M55:Q55" si="25">-M48/M54</f>
        <v>5973.3021508675411</v>
      </c>
      <c r="N55" s="6">
        <f t="shared" si="25"/>
        <v>6529.5256994430165</v>
      </c>
      <c r="O55" s="6">
        <f t="shared" si="25"/>
        <v>7095.8972281842816</v>
      </c>
      <c r="P55" s="6">
        <f t="shared" si="25"/>
        <v>7673.5386563562579</v>
      </c>
      <c r="Q55" s="6">
        <f t="shared" si="25"/>
        <v>8265.0296292596304</v>
      </c>
    </row>
    <row r="56" spans="1:17" x14ac:dyDescent="0.3">
      <c r="A56" s="5"/>
      <c r="B56" s="5"/>
      <c r="C56" s="5" t="s">
        <v>36</v>
      </c>
      <c r="D56" s="5"/>
      <c r="E56" s="6">
        <f>+E41/E54</f>
        <v>813.21122677647952</v>
      </c>
      <c r="F56" s="6">
        <f>+F41/F54</f>
        <v>544.08626428986634</v>
      </c>
      <c r="G56" s="6">
        <f>+G41/G54</f>
        <v>422.68273149062196</v>
      </c>
      <c r="H56" s="6">
        <f>+H41/H54</f>
        <v>368.49596955128203</v>
      </c>
      <c r="I56" s="6">
        <f>+I41/I54</f>
        <v>394.42908498063991</v>
      </c>
      <c r="J56" s="6"/>
      <c r="K56" s="6">
        <f>+K41/K54</f>
        <v>154.69735218243733</v>
      </c>
      <c r="L56" s="6">
        <f t="shared" si="24"/>
        <v>114.69735218243733</v>
      </c>
      <c r="M56" s="6">
        <f t="shared" ref="M56:P56" si="26">+M41/M54</f>
        <v>534.59254527174767</v>
      </c>
      <c r="N56" s="6">
        <f t="shared" si="26"/>
        <v>631.52899027457931</v>
      </c>
      <c r="O56" s="6">
        <f t="shared" si="26"/>
        <v>558.99162089899346</v>
      </c>
      <c r="P56" s="6">
        <f t="shared" si="26"/>
        <v>551.16000016205248</v>
      </c>
      <c r="Q56" s="6">
        <f>+Q41/Q54</f>
        <v>575.51043638821193</v>
      </c>
    </row>
    <row r="57" spans="1:17" x14ac:dyDescent="0.3">
      <c r="A57" s="5"/>
      <c r="B57" s="5"/>
      <c r="C57" s="5" t="s">
        <v>37</v>
      </c>
      <c r="D57" s="5"/>
      <c r="E57" s="6">
        <f>-E52/E54</f>
        <v>-1471.9914796016089</v>
      </c>
      <c r="F57" s="6">
        <f t="shared" ref="F57:I57" si="27">-F52/F54</f>
        <v>-1511.2278289091264</v>
      </c>
      <c r="G57" s="6">
        <f t="shared" si="27"/>
        <v>-1648.1005301085886</v>
      </c>
      <c r="H57" s="6">
        <f t="shared" si="27"/>
        <v>-1448.5107602163464</v>
      </c>
      <c r="I57" s="6">
        <f t="shared" si="27"/>
        <v>-1436.4181200326068</v>
      </c>
      <c r="J57" s="6"/>
      <c r="K57" s="6">
        <f t="shared" ref="K57:P57" si="28">-K52/K54</f>
        <v>-1649.9415364771442</v>
      </c>
      <c r="L57" s="6">
        <f t="shared" si="24"/>
        <v>-1689.9415364771442</v>
      </c>
      <c r="M57" s="6">
        <f t="shared" si="28"/>
        <v>-2046.1842256514119</v>
      </c>
      <c r="N57" s="6">
        <f t="shared" si="28"/>
        <v>-2224.6408290182399</v>
      </c>
      <c r="O57" s="6">
        <f t="shared" si="28"/>
        <v>-2368.5766165337463</v>
      </c>
      <c r="P57" s="6">
        <f t="shared" si="28"/>
        <v>-2674.4708593052223</v>
      </c>
      <c r="Q57" s="6">
        <f>-Q52/Q54</f>
        <v>-3026.7889210789208</v>
      </c>
    </row>
    <row r="58" spans="1:17" x14ac:dyDescent="0.3">
      <c r="A58" s="5"/>
      <c r="B58" s="5"/>
      <c r="C58" s="5"/>
      <c r="D58" s="5"/>
    </row>
    <row r="59" spans="1:17" x14ac:dyDescent="0.3">
      <c r="A59" s="5"/>
      <c r="B59" s="5"/>
      <c r="C59" s="5"/>
      <c r="D59" s="5"/>
    </row>
    <row r="60" spans="1:17" x14ac:dyDescent="0.3">
      <c r="A60" s="5"/>
      <c r="B60" s="5"/>
      <c r="C60" s="5"/>
      <c r="D60" s="5"/>
    </row>
    <row r="61" spans="1:17" x14ac:dyDescent="0.3">
      <c r="A61" s="5"/>
      <c r="B61" s="5"/>
      <c r="C61" s="5"/>
      <c r="D61" s="5"/>
    </row>
    <row r="62" spans="1:17" x14ac:dyDescent="0.3">
      <c r="A62" s="5"/>
      <c r="B62" s="5"/>
      <c r="C62" s="5"/>
      <c r="D62" s="5"/>
    </row>
    <row r="63" spans="1:17" x14ac:dyDescent="0.3">
      <c r="A63" s="5"/>
      <c r="B63" s="5"/>
      <c r="C63" s="5" t="s">
        <v>38</v>
      </c>
      <c r="D63" s="5"/>
      <c r="E63">
        <v>12041000</v>
      </c>
    </row>
  </sheetData>
  <mergeCells count="30">
    <mergeCell ref="A13:D13"/>
    <mergeCell ref="C8:D8"/>
    <mergeCell ref="A9:D9"/>
    <mergeCell ref="C10:D10"/>
    <mergeCell ref="C11:D11"/>
    <mergeCell ref="C12:D12"/>
    <mergeCell ref="C25:D25"/>
    <mergeCell ref="C14:D14"/>
    <mergeCell ref="C15:D15"/>
    <mergeCell ref="C16:D16"/>
    <mergeCell ref="C17:D17"/>
    <mergeCell ref="A18:D18"/>
    <mergeCell ref="C19:D19"/>
    <mergeCell ref="A20:D20"/>
    <mergeCell ref="B21:D21"/>
    <mergeCell ref="C22:D22"/>
    <mergeCell ref="C23:D23"/>
    <mergeCell ref="B24:D24"/>
    <mergeCell ref="A37:D37"/>
    <mergeCell ref="C26:D26"/>
    <mergeCell ref="C27:D27"/>
    <mergeCell ref="B28:D28"/>
    <mergeCell ref="B29:D29"/>
    <mergeCell ref="C30:D30"/>
    <mergeCell ref="C31:D31"/>
    <mergeCell ref="C32:D32"/>
    <mergeCell ref="C33:D33"/>
    <mergeCell ref="C34:D34"/>
    <mergeCell ref="A35:D35"/>
    <mergeCell ref="C36:D3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6"/>
  <sheetViews>
    <sheetView showGridLines="0" topLeftCell="D1" zoomScale="80" zoomScaleNormal="80" workbookViewId="0">
      <pane ySplit="7" topLeftCell="A43" activePane="bottomLeft" state="frozen"/>
      <selection pane="bottomLeft" activeCell="Q52" sqref="Q52"/>
    </sheetView>
  </sheetViews>
  <sheetFormatPr defaultRowHeight="14.4" x14ac:dyDescent="0.3"/>
  <cols>
    <col min="1" max="1" width="3.5546875" style="23" customWidth="1"/>
    <col min="2" max="2" width="3.88671875" style="23" customWidth="1"/>
    <col min="3" max="3" width="19.109375" style="23" customWidth="1"/>
    <col min="4" max="4" width="24.33203125" style="23" customWidth="1"/>
    <col min="5" max="5" width="15.21875" style="24" customWidth="1"/>
    <col min="6" max="9" width="14" style="24" customWidth="1"/>
    <col min="10" max="10" width="13.21875" style="24" customWidth="1"/>
    <col min="11" max="11" width="13.44140625" style="24" customWidth="1"/>
    <col min="12" max="18" width="12.88671875" style="24" customWidth="1"/>
    <col min="19" max="19" width="17.21875" style="23" customWidth="1"/>
    <col min="20" max="20" width="11.6640625" style="23" bestFit="1" customWidth="1"/>
    <col min="21" max="16384" width="8.88671875" style="23"/>
  </cols>
  <sheetData>
    <row r="1" spans="1:20" ht="7.2" customHeight="1" x14ac:dyDescent="0.3"/>
    <row r="2" spans="1:20" ht="14.1" customHeight="1" x14ac:dyDescent="0.3">
      <c r="A2" s="25" t="s">
        <v>53</v>
      </c>
    </row>
    <row r="3" spans="1:20" ht="0" hidden="1" customHeight="1" x14ac:dyDescent="0.3">
      <c r="A3" s="25"/>
    </row>
    <row r="4" spans="1:20" ht="14.1" customHeight="1" x14ac:dyDescent="0.3">
      <c r="A4" s="25" t="s">
        <v>47</v>
      </c>
    </row>
    <row r="5" spans="1:20" ht="0" hidden="1" customHeight="1" x14ac:dyDescent="0.3"/>
    <row r="6" spans="1:20" ht="7.2" customHeight="1" x14ac:dyDescent="0.3"/>
    <row r="7" spans="1:20" ht="2.85" customHeight="1" x14ac:dyDescent="0.3">
      <c r="E7" s="26"/>
      <c r="F7" s="26"/>
      <c r="G7" s="26"/>
      <c r="H7" s="26"/>
    </row>
    <row r="8" spans="1:20" ht="23.25" customHeight="1" x14ac:dyDescent="0.3">
      <c r="A8" s="1" t="s">
        <v>0</v>
      </c>
      <c r="B8" s="1" t="s">
        <v>0</v>
      </c>
      <c r="C8" s="83" t="s">
        <v>0</v>
      </c>
      <c r="D8" s="77"/>
      <c r="E8" s="27">
        <v>2014</v>
      </c>
      <c r="F8" s="27">
        <v>2015</v>
      </c>
      <c r="G8" s="27">
        <v>2016</v>
      </c>
      <c r="H8" s="27">
        <v>2017</v>
      </c>
      <c r="I8" s="28" t="s">
        <v>39</v>
      </c>
      <c r="J8" s="28" t="s">
        <v>40</v>
      </c>
      <c r="K8" s="27">
        <v>2019</v>
      </c>
      <c r="L8" s="27">
        <f>+K8+1</f>
        <v>2020</v>
      </c>
      <c r="M8" s="27">
        <f t="shared" ref="M8:O8" si="0">+L8+1</f>
        <v>2021</v>
      </c>
      <c r="N8" s="27">
        <f t="shared" si="0"/>
        <v>2022</v>
      </c>
      <c r="O8" s="27">
        <f t="shared" si="0"/>
        <v>2023</v>
      </c>
      <c r="P8" s="27">
        <v>2024</v>
      </c>
      <c r="Q8" s="27">
        <v>2025</v>
      </c>
      <c r="R8" s="27" t="s">
        <v>41</v>
      </c>
    </row>
    <row r="9" spans="1:20" ht="15" customHeight="1" x14ac:dyDescent="0.3">
      <c r="A9" s="76" t="s">
        <v>1</v>
      </c>
      <c r="B9" s="77"/>
      <c r="C9" s="77"/>
      <c r="D9" s="77"/>
      <c r="E9" s="29">
        <f t="shared" ref="E9:H9" si="1">SUM(E10:E12)</f>
        <v>3367902.82</v>
      </c>
      <c r="F9" s="29">
        <f t="shared" si="1"/>
        <v>4310942.3099999996</v>
      </c>
      <c r="G9" s="29">
        <f t="shared" si="1"/>
        <v>4363861.2699999996</v>
      </c>
      <c r="H9" s="29">
        <f t="shared" si="1"/>
        <v>6774259.6699999999</v>
      </c>
      <c r="I9" s="29">
        <f>SUM(I10:I12)</f>
        <v>5660305</v>
      </c>
      <c r="J9" s="29">
        <f>SUM(E9:I9)</f>
        <v>24477271.07</v>
      </c>
      <c r="K9" s="29">
        <f>SUM(K10:K12)</f>
        <v>3951304</v>
      </c>
      <c r="L9" s="29">
        <f t="shared" ref="L9:Q9" si="2">SUM(L10:L12)</f>
        <v>3815765.4584819824</v>
      </c>
      <c r="M9" s="29">
        <f t="shared" si="2"/>
        <v>3686381.248911947</v>
      </c>
      <c r="N9" s="29">
        <f t="shared" si="2"/>
        <v>3201784.1965370476</v>
      </c>
      <c r="O9" s="29">
        <f t="shared" si="2"/>
        <v>2138344.8661936522</v>
      </c>
      <c r="P9" s="29">
        <f t="shared" si="2"/>
        <v>1714510.4369339049</v>
      </c>
      <c r="Q9" s="29">
        <f t="shared" si="2"/>
        <v>1404530.6045130789</v>
      </c>
      <c r="R9" s="29">
        <f>SUM(K9:Q9)</f>
        <v>19912620.811571613</v>
      </c>
    </row>
    <row r="10" spans="1:20" ht="15" customHeight="1" x14ac:dyDescent="0.3">
      <c r="A10" s="2" t="s">
        <v>0</v>
      </c>
      <c r="B10" s="2" t="s">
        <v>0</v>
      </c>
      <c r="C10" s="78" t="s">
        <v>2</v>
      </c>
      <c r="D10" s="77"/>
      <c r="E10" s="57">
        <v>3408398.59</v>
      </c>
      <c r="F10" s="57">
        <v>4336379.47</v>
      </c>
      <c r="G10" s="57">
        <v>4459426.8499999996</v>
      </c>
      <c r="H10" s="58">
        <v>7168601.4100000001</v>
      </c>
      <c r="I10" s="30">
        <v>5739276</v>
      </c>
      <c r="J10" s="29">
        <f t="shared" ref="J10:J44" si="3">SUM(E10:I10)</f>
        <v>25112082.32</v>
      </c>
      <c r="K10" s="30">
        <v>3951304</v>
      </c>
      <c r="L10" s="31">
        <v>3815765.4584819824</v>
      </c>
      <c r="M10" s="31">
        <v>3686381.248911947</v>
      </c>
      <c r="N10" s="31">
        <v>3201784.1965370476</v>
      </c>
      <c r="O10" s="31">
        <v>2138344.8661936522</v>
      </c>
      <c r="P10" s="31">
        <v>1714510.4369339049</v>
      </c>
      <c r="Q10" s="31">
        <v>1404530.6045130789</v>
      </c>
      <c r="R10" s="29">
        <f t="shared" ref="R10:R37" si="4">SUM(K10:Q10)</f>
        <v>19912620.811571613</v>
      </c>
    </row>
    <row r="11" spans="1:20" ht="15" customHeight="1" x14ac:dyDescent="0.3">
      <c r="A11" s="2" t="s">
        <v>0</v>
      </c>
      <c r="B11" s="2" t="s">
        <v>0</v>
      </c>
      <c r="C11" s="78" t="s">
        <v>3</v>
      </c>
      <c r="D11" s="77"/>
      <c r="E11" s="59">
        <v>-40495.769999999997</v>
      </c>
      <c r="F11" s="59">
        <v>-25437.16</v>
      </c>
      <c r="G11" s="59">
        <v>-95565.58</v>
      </c>
      <c r="H11" s="59">
        <v>-394341.74</v>
      </c>
      <c r="I11" s="30">
        <v>-8215</v>
      </c>
      <c r="J11" s="29">
        <f t="shared" si="3"/>
        <v>-564055.25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29">
        <f t="shared" si="4"/>
        <v>0</v>
      </c>
      <c r="S11" s="32"/>
    </row>
    <row r="12" spans="1:20" x14ac:dyDescent="0.3">
      <c r="A12" s="2" t="s">
        <v>0</v>
      </c>
      <c r="B12" s="2" t="s">
        <v>0</v>
      </c>
      <c r="C12" s="78" t="s">
        <v>4</v>
      </c>
      <c r="D12" s="77"/>
      <c r="E12" s="30"/>
      <c r="F12" s="30"/>
      <c r="G12" s="30"/>
      <c r="H12" s="30"/>
      <c r="I12" s="30">
        <v>-70756</v>
      </c>
      <c r="J12" s="29">
        <f t="shared" si="3"/>
        <v>-70756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29">
        <f t="shared" si="4"/>
        <v>0</v>
      </c>
      <c r="S12" s="23" t="s">
        <v>42</v>
      </c>
    </row>
    <row r="13" spans="1:20" ht="15" customHeight="1" x14ac:dyDescent="0.3">
      <c r="A13" s="76" t="s">
        <v>5</v>
      </c>
      <c r="B13" s="77"/>
      <c r="C13" s="77"/>
      <c r="D13" s="77"/>
      <c r="E13" s="29">
        <v>-4642625.42</v>
      </c>
      <c r="F13" s="29">
        <v>-3991937.95</v>
      </c>
      <c r="G13" s="29">
        <v>-1987047.04</v>
      </c>
      <c r="H13" s="29">
        <v>-4769466.5199999996</v>
      </c>
      <c r="I13" s="29">
        <f>SUM(I14:I16)</f>
        <v>-7256403</v>
      </c>
      <c r="J13" s="29">
        <f t="shared" si="3"/>
        <v>-22647479.93</v>
      </c>
      <c r="K13" s="62">
        <f>SUM(K14:K16)</f>
        <v>-5800000</v>
      </c>
      <c r="L13" s="62">
        <f t="shared" ref="L13:Q13" si="5">SUM(L14:L16)</f>
        <v>-3920000</v>
      </c>
      <c r="M13" s="62">
        <f t="shared" si="5"/>
        <v>-4150000</v>
      </c>
      <c r="N13" s="62">
        <f t="shared" si="5"/>
        <v>-4000000</v>
      </c>
      <c r="O13" s="62">
        <f t="shared" si="5"/>
        <v>-4000000</v>
      </c>
      <c r="P13" s="62">
        <f t="shared" si="5"/>
        <v>-4000000</v>
      </c>
      <c r="Q13" s="62">
        <f t="shared" si="5"/>
        <v>-4000000</v>
      </c>
      <c r="R13" s="62">
        <f t="shared" si="4"/>
        <v>-29870000</v>
      </c>
      <c r="S13" s="33">
        <f>+J13+R13</f>
        <v>-52517479.93</v>
      </c>
      <c r="T13" s="33">
        <f>AVERAGE(K13:Q13)</f>
        <v>-4267142.8571428573</v>
      </c>
    </row>
    <row r="14" spans="1:20" x14ac:dyDescent="0.3">
      <c r="A14" s="2" t="s">
        <v>0</v>
      </c>
      <c r="B14" s="2" t="s">
        <v>0</v>
      </c>
      <c r="C14" s="81" t="s">
        <v>6</v>
      </c>
      <c r="D14" s="82"/>
      <c r="E14" s="34">
        <v>-4709372.57</v>
      </c>
      <c r="F14" s="34">
        <v>-4212257.13</v>
      </c>
      <c r="G14" s="34">
        <v>-2382593.61</v>
      </c>
      <c r="H14" s="34">
        <v>-7034800.21</v>
      </c>
      <c r="I14" s="34">
        <v>-7681344</v>
      </c>
      <c r="J14" s="29">
        <f t="shared" si="3"/>
        <v>-26020367.52</v>
      </c>
      <c r="K14" s="34">
        <v>-6100000</v>
      </c>
      <c r="L14" s="34">
        <v>-4295000</v>
      </c>
      <c r="M14" s="34">
        <v>-4525000</v>
      </c>
      <c r="N14" s="34">
        <v>-4000000</v>
      </c>
      <c r="O14" s="34">
        <v>-4000000</v>
      </c>
      <c r="P14" s="34">
        <v>-4000000</v>
      </c>
      <c r="Q14" s="34">
        <v>-4000000</v>
      </c>
      <c r="R14" s="62">
        <f t="shared" si="4"/>
        <v>-30920000</v>
      </c>
    </row>
    <row r="15" spans="1:20" ht="15" customHeight="1" x14ac:dyDescent="0.3">
      <c r="A15" s="2" t="s">
        <v>0</v>
      </c>
      <c r="B15" s="2" t="s">
        <v>0</v>
      </c>
      <c r="C15" s="78" t="s">
        <v>7</v>
      </c>
      <c r="D15" s="77"/>
      <c r="E15" s="34">
        <v>19375.150000000001</v>
      </c>
      <c r="F15" s="34">
        <v>190457.68</v>
      </c>
      <c r="G15" s="34">
        <v>292514.27</v>
      </c>
      <c r="H15" s="34">
        <v>380949.5</v>
      </c>
      <c r="I15" s="34">
        <v>349945</v>
      </c>
      <c r="J15" s="29">
        <f t="shared" si="3"/>
        <v>1233241.6000000001</v>
      </c>
      <c r="K15" s="34">
        <v>300000</v>
      </c>
      <c r="L15" s="34">
        <v>375000</v>
      </c>
      <c r="M15" s="34">
        <v>375000</v>
      </c>
      <c r="N15" s="34">
        <v>0</v>
      </c>
      <c r="O15" s="34"/>
      <c r="P15" s="34"/>
      <c r="Q15" s="34"/>
      <c r="R15" s="62">
        <f t="shared" si="4"/>
        <v>1050000</v>
      </c>
    </row>
    <row r="16" spans="1:20" ht="20.25" customHeight="1" x14ac:dyDescent="0.3">
      <c r="A16" s="2" t="s">
        <v>0</v>
      </c>
      <c r="B16" s="2" t="s">
        <v>0</v>
      </c>
      <c r="C16" s="78" t="s">
        <v>8</v>
      </c>
      <c r="D16" s="77"/>
      <c r="E16" s="30">
        <v>47372</v>
      </c>
      <c r="F16" s="30">
        <v>29861.5</v>
      </c>
      <c r="G16" s="30">
        <v>103032.3</v>
      </c>
      <c r="H16" s="30">
        <v>1884384.19</v>
      </c>
      <c r="I16" s="30">
        <v>74996</v>
      </c>
      <c r="J16" s="29">
        <f t="shared" si="3"/>
        <v>2139645.9900000002</v>
      </c>
      <c r="K16" s="34">
        <v>0</v>
      </c>
      <c r="L16" s="34"/>
      <c r="M16" s="34"/>
      <c r="N16" s="34"/>
      <c r="O16" s="34"/>
      <c r="P16" s="34"/>
      <c r="Q16" s="34"/>
      <c r="R16" s="62">
        <f t="shared" si="4"/>
        <v>0</v>
      </c>
    </row>
    <row r="17" spans="1:19" x14ac:dyDescent="0.3">
      <c r="A17" s="3" t="s">
        <v>0</v>
      </c>
      <c r="B17" s="3" t="s">
        <v>0</v>
      </c>
      <c r="C17" s="76" t="s">
        <v>0</v>
      </c>
      <c r="D17" s="77"/>
      <c r="I17" s="37"/>
      <c r="J17" s="29">
        <f t="shared" si="3"/>
        <v>0</v>
      </c>
      <c r="K17" s="63"/>
      <c r="L17" s="63"/>
      <c r="M17" s="63"/>
      <c r="N17" s="63"/>
      <c r="O17" s="63"/>
      <c r="P17" s="63"/>
      <c r="Q17" s="63"/>
      <c r="R17" s="62">
        <f t="shared" si="4"/>
        <v>0</v>
      </c>
    </row>
    <row r="18" spans="1:19" ht="15" customHeight="1" x14ac:dyDescent="0.3">
      <c r="A18" s="76" t="s">
        <v>9</v>
      </c>
      <c r="B18" s="77"/>
      <c r="C18" s="77"/>
      <c r="D18" s="77"/>
      <c r="E18" s="37">
        <v>-1274722.6000000006</v>
      </c>
      <c r="F18" s="37">
        <v>319004.36</v>
      </c>
      <c r="G18" s="37">
        <v>2376814.23</v>
      </c>
      <c r="H18" s="37">
        <v>2374719.4300000002</v>
      </c>
      <c r="I18" s="38">
        <v>-1596099</v>
      </c>
      <c r="J18" s="29">
        <f t="shared" si="3"/>
        <v>2199716.4199999995</v>
      </c>
      <c r="K18" s="64">
        <f>K13+K9</f>
        <v>-1848696</v>
      </c>
      <c r="L18" s="64">
        <f t="shared" ref="L18:Q18" si="6">L13+L9</f>
        <v>-104234.54151801765</v>
      </c>
      <c r="M18" s="64">
        <f t="shared" si="6"/>
        <v>-463618.75108805299</v>
      </c>
      <c r="N18" s="64">
        <f t="shared" si="6"/>
        <v>-798215.80346295238</v>
      </c>
      <c r="O18" s="64">
        <f t="shared" si="6"/>
        <v>-1861655.1338063478</v>
      </c>
      <c r="P18" s="64">
        <f t="shared" si="6"/>
        <v>-2285489.5630660951</v>
      </c>
      <c r="Q18" s="64">
        <f t="shared" si="6"/>
        <v>-2595469.3954869211</v>
      </c>
      <c r="R18" s="62">
        <f t="shared" si="4"/>
        <v>-9957379.188428387</v>
      </c>
      <c r="S18" s="39">
        <f>+R24-R44</f>
        <v>10405000</v>
      </c>
    </row>
    <row r="19" spans="1:19" ht="38.25" customHeight="1" x14ac:dyDescent="0.3">
      <c r="A19" s="3" t="s">
        <v>0</v>
      </c>
      <c r="B19" s="3" t="s">
        <v>0</v>
      </c>
      <c r="C19" s="76" t="s">
        <v>0</v>
      </c>
      <c r="D19" s="77"/>
      <c r="E19" s="37"/>
      <c r="F19" s="37"/>
      <c r="G19" s="37"/>
      <c r="H19" s="37"/>
      <c r="I19" s="37"/>
      <c r="J19" s="29"/>
      <c r="K19" s="63"/>
      <c r="L19" s="63"/>
      <c r="M19" s="63"/>
      <c r="N19" s="63"/>
      <c r="O19" s="63"/>
      <c r="P19" s="63"/>
      <c r="Q19" s="63"/>
      <c r="R19" s="62">
        <f t="shared" si="4"/>
        <v>0</v>
      </c>
      <c r="S19" s="39"/>
    </row>
    <row r="20" spans="1:19" ht="15" customHeight="1" x14ac:dyDescent="0.3">
      <c r="A20" s="76" t="s">
        <v>10</v>
      </c>
      <c r="B20" s="77"/>
      <c r="C20" s="77"/>
      <c r="D20" s="77"/>
      <c r="E20" s="37"/>
      <c r="F20" s="37"/>
      <c r="G20" s="37"/>
      <c r="H20" s="37"/>
      <c r="I20" s="37"/>
      <c r="J20" s="29">
        <f t="shared" si="3"/>
        <v>0</v>
      </c>
      <c r="K20" s="63"/>
      <c r="L20" s="63"/>
      <c r="M20" s="63"/>
      <c r="N20" s="63"/>
      <c r="O20" s="63"/>
      <c r="P20" s="63"/>
      <c r="Q20" s="63"/>
      <c r="R20" s="62">
        <f t="shared" si="4"/>
        <v>0</v>
      </c>
    </row>
    <row r="21" spans="1:19" ht="15" customHeight="1" x14ac:dyDescent="0.3">
      <c r="A21" s="1" t="s">
        <v>0</v>
      </c>
      <c r="B21" s="79" t="s">
        <v>11</v>
      </c>
      <c r="C21" s="80"/>
      <c r="D21" s="80"/>
      <c r="E21" s="29">
        <f t="shared" ref="E21:H21" si="7">SUM(E22:E23)</f>
        <v>-70000</v>
      </c>
      <c r="F21" s="29">
        <f t="shared" si="7"/>
        <v>71359.37000000001</v>
      </c>
      <c r="G21" s="29">
        <f t="shared" si="7"/>
        <v>-476652.13</v>
      </c>
      <c r="H21" s="29">
        <f t="shared" si="7"/>
        <v>-173600</v>
      </c>
      <c r="I21" s="29">
        <f>SUM(I22:I23)</f>
        <v>451578</v>
      </c>
      <c r="J21" s="29">
        <f t="shared" si="3"/>
        <v>-197314.76</v>
      </c>
      <c r="K21" s="62">
        <f>SUM(K22:K23)</f>
        <v>-1899000</v>
      </c>
      <c r="L21" s="62">
        <f t="shared" ref="L21:Q21" si="8">SUM(L22:L23)</f>
        <v>0</v>
      </c>
      <c r="M21" s="62">
        <f t="shared" si="8"/>
        <v>0</v>
      </c>
      <c r="N21" s="62">
        <f t="shared" si="8"/>
        <v>0</v>
      </c>
      <c r="O21" s="62">
        <f t="shared" si="8"/>
        <v>0</v>
      </c>
      <c r="P21" s="62">
        <f t="shared" si="8"/>
        <v>0</v>
      </c>
      <c r="Q21" s="62">
        <f t="shared" si="8"/>
        <v>0</v>
      </c>
      <c r="R21" s="62">
        <f t="shared" si="4"/>
        <v>-1899000</v>
      </c>
    </row>
    <row r="22" spans="1:19" ht="15" customHeight="1" x14ac:dyDescent="0.3">
      <c r="A22" s="2" t="s">
        <v>0</v>
      </c>
      <c r="B22" s="2" t="s">
        <v>0</v>
      </c>
      <c r="C22" s="78" t="s">
        <v>12</v>
      </c>
      <c r="D22" s="77"/>
      <c r="E22" s="30">
        <v>-70000</v>
      </c>
      <c r="F22" s="30">
        <v>-61333.58</v>
      </c>
      <c r="G22" s="30">
        <v>-476652.13</v>
      </c>
      <c r="H22" s="30">
        <v>-173600</v>
      </c>
      <c r="I22" s="30">
        <v>-36044</v>
      </c>
      <c r="J22" s="29">
        <f t="shared" si="3"/>
        <v>-817629.71</v>
      </c>
      <c r="K22" s="34">
        <v>-1899000</v>
      </c>
      <c r="L22" s="34"/>
      <c r="M22" s="34"/>
      <c r="N22" s="34"/>
      <c r="O22" s="34"/>
      <c r="P22" s="34"/>
      <c r="Q22" s="34"/>
      <c r="R22" s="62">
        <f t="shared" si="4"/>
        <v>-1899000</v>
      </c>
    </row>
    <row r="23" spans="1:19" ht="15" customHeight="1" x14ac:dyDescent="0.3">
      <c r="A23" s="2"/>
      <c r="B23" s="2"/>
      <c r="C23" s="78" t="s">
        <v>13</v>
      </c>
      <c r="D23" s="77"/>
      <c r="E23" s="30">
        <v>0</v>
      </c>
      <c r="F23" s="30">
        <v>132692.95000000001</v>
      </c>
      <c r="G23" s="30">
        <v>0</v>
      </c>
      <c r="H23" s="30" t="s">
        <v>48</v>
      </c>
      <c r="I23" s="30">
        <v>487622</v>
      </c>
      <c r="J23" s="29">
        <f t="shared" si="3"/>
        <v>620314.94999999995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62">
        <f t="shared" si="4"/>
        <v>0</v>
      </c>
      <c r="S23" s="23" t="s">
        <v>43</v>
      </c>
    </row>
    <row r="24" spans="1:19" ht="17.25" customHeight="1" x14ac:dyDescent="0.3">
      <c r="A24" s="1" t="s">
        <v>0</v>
      </c>
      <c r="B24" s="79" t="s">
        <v>14</v>
      </c>
      <c r="C24" s="80"/>
      <c r="D24" s="80"/>
      <c r="E24" s="29">
        <f>SUM(E25:E26)</f>
        <v>987299.03</v>
      </c>
      <c r="F24" s="29">
        <f t="shared" ref="F24:H24" si="9">SUM(F25:F26)</f>
        <v>234994.62000000011</v>
      </c>
      <c r="G24" s="29">
        <f t="shared" si="9"/>
        <v>-1896999.28</v>
      </c>
      <c r="H24" s="29">
        <f t="shared" si="9"/>
        <v>-1910902.94</v>
      </c>
      <c r="I24" s="29">
        <f>SUM(I25:I26)</f>
        <v>-42500</v>
      </c>
      <c r="J24" s="29">
        <f>SUM(E24:I24)</f>
        <v>-2628108.5699999998</v>
      </c>
      <c r="K24" s="62">
        <f>K25+K26</f>
        <v>2215000</v>
      </c>
      <c r="L24" s="62">
        <f t="shared" ref="L24:Q24" si="10">L25+L26</f>
        <v>940000</v>
      </c>
      <c r="M24" s="62">
        <f t="shared" si="10"/>
        <v>1190000</v>
      </c>
      <c r="N24" s="62">
        <f t="shared" si="10"/>
        <v>890000</v>
      </c>
      <c r="O24" s="62">
        <f t="shared" si="10"/>
        <v>590000</v>
      </c>
      <c r="P24" s="62">
        <f t="shared" si="10"/>
        <v>2090000</v>
      </c>
      <c r="Q24" s="62">
        <f t="shared" si="10"/>
        <v>2490000</v>
      </c>
      <c r="R24" s="62">
        <f>SUM(K24:Q24)</f>
        <v>10405000</v>
      </c>
      <c r="S24" s="40">
        <f>+J24+R25+R26+E63</f>
        <v>19817891.43</v>
      </c>
    </row>
    <row r="25" spans="1:19" ht="17.25" customHeight="1" x14ac:dyDescent="0.3">
      <c r="A25" s="1"/>
      <c r="B25" s="4"/>
      <c r="C25" s="78" t="s">
        <v>15</v>
      </c>
      <c r="D25" s="77"/>
      <c r="E25" s="41">
        <v>3000000</v>
      </c>
      <c r="F25" s="41">
        <v>2500000</v>
      </c>
      <c r="G25" s="41">
        <v>0</v>
      </c>
      <c r="H25" s="41">
        <v>0</v>
      </c>
      <c r="I25" s="42">
        <v>2000000</v>
      </c>
      <c r="J25" s="42">
        <f t="shared" si="3"/>
        <v>7500000</v>
      </c>
      <c r="K25" s="66">
        <v>4000000</v>
      </c>
      <c r="L25" s="67">
        <v>3000000</v>
      </c>
      <c r="M25" s="67">
        <v>3000000</v>
      </c>
      <c r="N25" s="67">
        <v>3000000</v>
      </c>
      <c r="O25" s="67">
        <v>3000000</v>
      </c>
      <c r="P25" s="67">
        <v>5000000</v>
      </c>
      <c r="Q25" s="67">
        <v>6000000</v>
      </c>
      <c r="R25" s="68">
        <f>SUM(K25:Q25)</f>
        <v>27000000</v>
      </c>
      <c r="S25" s="43">
        <f>+S24/S13</f>
        <v>-0.37735800454277435</v>
      </c>
    </row>
    <row r="26" spans="1:19" x14ac:dyDescent="0.3">
      <c r="A26" s="2" t="s">
        <v>0</v>
      </c>
      <c r="B26" s="2" t="s">
        <v>0</v>
      </c>
      <c r="C26" s="78" t="s">
        <v>16</v>
      </c>
      <c r="D26" s="77"/>
      <c r="E26" s="44">
        <v>-2012700.97</v>
      </c>
      <c r="F26" s="44">
        <v>-2265005.38</v>
      </c>
      <c r="G26" s="44">
        <v>-1896999.28</v>
      </c>
      <c r="H26" s="44">
        <v>-1910902.94</v>
      </c>
      <c r="I26" s="44">
        <v>-2042500</v>
      </c>
      <c r="J26" s="42">
        <f t="shared" si="3"/>
        <v>-10128108.57</v>
      </c>
      <c r="K26" s="65">
        <v>-1785000</v>
      </c>
      <c r="L26" s="65">
        <v>-2060000</v>
      </c>
      <c r="M26" s="65">
        <v>-1810000</v>
      </c>
      <c r="N26" s="65">
        <f>M26-N25/10</f>
        <v>-2110000</v>
      </c>
      <c r="O26" s="65">
        <f t="shared" ref="O26:P26" si="11">N26-O25/10</f>
        <v>-2410000</v>
      </c>
      <c r="P26" s="65">
        <f t="shared" si="11"/>
        <v>-2910000</v>
      </c>
      <c r="Q26" s="65">
        <f>P26-Q25/10</f>
        <v>-3510000</v>
      </c>
      <c r="R26" s="68">
        <f>SUM(K26:Q26)</f>
        <v>-16595000</v>
      </c>
      <c r="S26" s="23" t="s">
        <v>44</v>
      </c>
    </row>
    <row r="27" spans="1:19" ht="15" customHeight="1" x14ac:dyDescent="0.3">
      <c r="A27" s="2"/>
      <c r="B27" s="2"/>
      <c r="C27" s="78" t="s">
        <v>17</v>
      </c>
      <c r="D27" s="77"/>
      <c r="E27" s="30"/>
      <c r="F27" s="30"/>
      <c r="G27" s="30"/>
      <c r="H27" s="30">
        <v>0</v>
      </c>
      <c r="I27" s="30"/>
      <c r="J27" s="29">
        <f t="shared" si="3"/>
        <v>0</v>
      </c>
      <c r="K27" s="30"/>
      <c r="L27" s="30"/>
      <c r="M27" s="30"/>
      <c r="N27" s="30"/>
      <c r="O27" s="30"/>
      <c r="P27" s="30"/>
      <c r="Q27" s="30"/>
      <c r="R27" s="29">
        <f t="shared" si="4"/>
        <v>0</v>
      </c>
    </row>
    <row r="28" spans="1:19" ht="15" customHeight="1" x14ac:dyDescent="0.3">
      <c r="A28" s="2"/>
      <c r="B28" s="79" t="s">
        <v>18</v>
      </c>
      <c r="C28" s="80"/>
      <c r="D28" s="80"/>
      <c r="E28" s="37"/>
      <c r="F28" s="37"/>
      <c r="G28" s="37"/>
      <c r="H28" s="37"/>
      <c r="I28" s="37"/>
      <c r="J28" s="29"/>
      <c r="K28" s="37"/>
      <c r="L28" s="37"/>
      <c r="M28" s="37"/>
      <c r="N28" s="37"/>
      <c r="O28" s="37"/>
      <c r="P28" s="37"/>
      <c r="Q28" s="37"/>
      <c r="R28" s="29">
        <f t="shared" si="4"/>
        <v>0</v>
      </c>
    </row>
    <row r="29" spans="1:19" ht="15" customHeight="1" x14ac:dyDescent="0.3">
      <c r="A29" s="1" t="s">
        <v>0</v>
      </c>
      <c r="B29" s="79" t="s">
        <v>19</v>
      </c>
      <c r="C29" s="80"/>
      <c r="D29" s="80"/>
      <c r="E29" s="29">
        <v>246662.51000000004</v>
      </c>
      <c r="F29" s="29">
        <v>285747.81</v>
      </c>
      <c r="G29" s="29">
        <v>-331608.24</v>
      </c>
      <c r="H29" s="29">
        <v>-739855.25</v>
      </c>
      <c r="I29" s="29">
        <v>349093</v>
      </c>
      <c r="J29" s="29">
        <f t="shared" si="3"/>
        <v>-189960.16999999993</v>
      </c>
      <c r="K29" s="29">
        <f>SUM(K30:K33)</f>
        <v>0</v>
      </c>
      <c r="L29" s="29">
        <f t="shared" ref="L29:Q29" si="12">SUM(L30:L33)</f>
        <v>0</v>
      </c>
      <c r="M29" s="29">
        <f t="shared" si="12"/>
        <v>0</v>
      </c>
      <c r="N29" s="29">
        <f t="shared" si="12"/>
        <v>0</v>
      </c>
      <c r="O29" s="29">
        <f t="shared" si="12"/>
        <v>0</v>
      </c>
      <c r="P29" s="29">
        <f t="shared" si="12"/>
        <v>0</v>
      </c>
      <c r="Q29" s="29">
        <f t="shared" si="12"/>
        <v>0</v>
      </c>
      <c r="R29" s="29">
        <f t="shared" si="4"/>
        <v>0</v>
      </c>
    </row>
    <row r="30" spans="1:19" ht="26.4" customHeight="1" x14ac:dyDescent="0.3">
      <c r="A30" s="2" t="s">
        <v>0</v>
      </c>
      <c r="B30" s="2" t="s">
        <v>0</v>
      </c>
      <c r="C30" s="78" t="s">
        <v>20</v>
      </c>
      <c r="D30" s="77"/>
      <c r="E30" s="30">
        <v>72805.62</v>
      </c>
      <c r="F30" s="30">
        <v>2851.03</v>
      </c>
      <c r="G30" s="30">
        <v>-2133.52</v>
      </c>
      <c r="H30" s="30">
        <v>-39419.99</v>
      </c>
      <c r="I30" s="30">
        <v>-171</v>
      </c>
      <c r="J30" s="29">
        <f t="shared" si="3"/>
        <v>33932.139999999992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29">
        <f t="shared" si="4"/>
        <v>0</v>
      </c>
    </row>
    <row r="31" spans="1:19" ht="16.5" customHeight="1" x14ac:dyDescent="0.3">
      <c r="A31" s="2" t="s">
        <v>0</v>
      </c>
      <c r="B31" s="2" t="s">
        <v>0</v>
      </c>
      <c r="C31" s="81" t="s">
        <v>21</v>
      </c>
      <c r="D31" s="82"/>
      <c r="E31" s="30">
        <v>9805.02</v>
      </c>
      <c r="F31" s="30">
        <v>3055.4</v>
      </c>
      <c r="G31" s="30">
        <v>-6232.99</v>
      </c>
      <c r="H31" s="30">
        <v>22968.9</v>
      </c>
      <c r="I31" s="34">
        <v>55877</v>
      </c>
      <c r="J31" s="29">
        <f t="shared" si="3"/>
        <v>85473.33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29">
        <f t="shared" si="4"/>
        <v>0</v>
      </c>
    </row>
    <row r="32" spans="1:19" ht="15" customHeight="1" x14ac:dyDescent="0.3">
      <c r="A32" s="2" t="s">
        <v>0</v>
      </c>
      <c r="B32" s="2" t="s">
        <v>0</v>
      </c>
      <c r="C32" s="78" t="s">
        <v>22</v>
      </c>
      <c r="D32" s="77"/>
      <c r="E32" s="30">
        <v>280403.27</v>
      </c>
      <c r="F32" s="30">
        <v>294797.28999999998</v>
      </c>
      <c r="G32" s="30">
        <v>-1054268.97</v>
      </c>
      <c r="H32" s="30">
        <v>1498297.64</v>
      </c>
      <c r="I32" s="30">
        <v>323950</v>
      </c>
      <c r="J32" s="29">
        <f t="shared" si="3"/>
        <v>1343179.23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29">
        <f t="shared" si="4"/>
        <v>0</v>
      </c>
    </row>
    <row r="33" spans="1:19" x14ac:dyDescent="0.3">
      <c r="A33" s="2" t="s">
        <v>0</v>
      </c>
      <c r="B33" s="2" t="s">
        <v>0</v>
      </c>
      <c r="C33" s="78" t="s">
        <v>23</v>
      </c>
      <c r="D33" s="77"/>
      <c r="E33" s="37">
        <v>-116351.4</v>
      </c>
      <c r="F33" s="37">
        <v>-14955.91</v>
      </c>
      <c r="G33" s="30">
        <v>731027.24</v>
      </c>
      <c r="H33" s="30">
        <v>-2221701.7999999998</v>
      </c>
      <c r="I33" s="30">
        <v>-30563</v>
      </c>
      <c r="J33" s="29">
        <f t="shared" si="3"/>
        <v>-1652544.8699999999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29">
        <f t="shared" si="4"/>
        <v>0</v>
      </c>
    </row>
    <row r="34" spans="1:19" ht="15" customHeight="1" x14ac:dyDescent="0.3">
      <c r="A34" s="3" t="s">
        <v>0</v>
      </c>
      <c r="B34" s="3" t="s">
        <v>0</v>
      </c>
      <c r="C34" s="76" t="s">
        <v>0</v>
      </c>
      <c r="D34" s="77"/>
      <c r="I34" s="37"/>
      <c r="J34" s="29">
        <f t="shared" si="3"/>
        <v>0</v>
      </c>
      <c r="K34" s="37"/>
      <c r="L34" s="37"/>
      <c r="M34" s="37"/>
      <c r="N34" s="37"/>
      <c r="O34" s="37"/>
      <c r="P34" s="37"/>
      <c r="Q34" s="37"/>
      <c r="R34" s="29">
        <f t="shared" si="4"/>
        <v>0</v>
      </c>
    </row>
    <row r="35" spans="1:19" ht="15" customHeight="1" x14ac:dyDescent="0.3">
      <c r="A35" s="76" t="s">
        <v>10</v>
      </c>
      <c r="B35" s="77"/>
      <c r="C35" s="77"/>
      <c r="D35" s="77"/>
      <c r="E35" s="38">
        <v>1163961.54</v>
      </c>
      <c r="F35" s="38">
        <v>877849.61000000022</v>
      </c>
      <c r="G35" s="37">
        <v>-3036867.8900000006</v>
      </c>
      <c r="H35" s="37">
        <v>-2824358.19</v>
      </c>
      <c r="I35" s="38">
        <f>I29+I24+I21</f>
        <v>758171</v>
      </c>
      <c r="J35" s="29">
        <f t="shared" si="3"/>
        <v>-3061243.93</v>
      </c>
      <c r="K35" s="38">
        <f>K21+K24</f>
        <v>316000</v>
      </c>
      <c r="L35" s="38">
        <f t="shared" ref="L35:Q35" si="13">L21+L24</f>
        <v>940000</v>
      </c>
      <c r="M35" s="38">
        <f t="shared" si="13"/>
        <v>1190000</v>
      </c>
      <c r="N35" s="38">
        <f t="shared" si="13"/>
        <v>890000</v>
      </c>
      <c r="O35" s="38">
        <f t="shared" si="13"/>
        <v>590000</v>
      </c>
      <c r="P35" s="38">
        <f t="shared" si="13"/>
        <v>2090000</v>
      </c>
      <c r="Q35" s="38">
        <f t="shared" si="13"/>
        <v>2490000</v>
      </c>
      <c r="R35" s="29">
        <f t="shared" si="4"/>
        <v>8506000</v>
      </c>
    </row>
    <row r="36" spans="1:19" ht="25.5" customHeight="1" x14ac:dyDescent="0.3">
      <c r="A36" s="3" t="s">
        <v>0</v>
      </c>
      <c r="B36" s="3" t="s">
        <v>0</v>
      </c>
      <c r="C36" s="76" t="s">
        <v>0</v>
      </c>
      <c r="D36" s="77"/>
      <c r="E36" s="37" t="s">
        <v>0</v>
      </c>
      <c r="F36" s="37"/>
      <c r="G36" s="38"/>
      <c r="H36" s="38"/>
      <c r="I36" s="37"/>
      <c r="J36" s="29">
        <f t="shared" si="3"/>
        <v>0</v>
      </c>
      <c r="K36" s="37"/>
      <c r="L36" s="37"/>
      <c r="M36" s="37"/>
      <c r="N36" s="37"/>
      <c r="O36" s="37"/>
      <c r="P36" s="37"/>
      <c r="Q36" s="37"/>
      <c r="R36" s="29">
        <f t="shared" si="4"/>
        <v>0</v>
      </c>
    </row>
    <row r="37" spans="1:19" ht="25.5" customHeight="1" x14ac:dyDescent="0.3">
      <c r="A37" s="76" t="s">
        <v>24</v>
      </c>
      <c r="B37" s="77"/>
      <c r="C37" s="77"/>
      <c r="D37" s="77"/>
      <c r="E37" s="38">
        <v>-110761.06000000052</v>
      </c>
      <c r="F37" s="38">
        <v>1196853.9700000002</v>
      </c>
      <c r="G37" s="37">
        <v>-660053.66000000061</v>
      </c>
      <c r="H37" s="37">
        <v>-449638.76</v>
      </c>
      <c r="I37" s="38">
        <f>I35+I18</f>
        <v>-837928</v>
      </c>
      <c r="J37" s="29">
        <f t="shared" si="3"/>
        <v>-861527.51000000094</v>
      </c>
      <c r="K37" s="38">
        <f>K35+K18</f>
        <v>-1532696</v>
      </c>
      <c r="L37" s="38">
        <f t="shared" ref="L37:Q37" si="14">L35+L18</f>
        <v>835765.45848198235</v>
      </c>
      <c r="M37" s="38">
        <f t="shared" si="14"/>
        <v>726381.24891194701</v>
      </c>
      <c r="N37" s="38">
        <f t="shared" si="14"/>
        <v>91784.196537047625</v>
      </c>
      <c r="O37" s="38">
        <f t="shared" si="14"/>
        <v>-1271655.1338063478</v>
      </c>
      <c r="P37" s="38">
        <f>P35+P18</f>
        <v>-195489.56306609511</v>
      </c>
      <c r="Q37" s="38">
        <f t="shared" si="14"/>
        <v>-105469.39548692107</v>
      </c>
      <c r="R37" s="29">
        <f t="shared" si="4"/>
        <v>-1451379.188428387</v>
      </c>
      <c r="S37" s="33"/>
    </row>
    <row r="38" spans="1:19" ht="0" hidden="1" customHeight="1" x14ac:dyDescent="0.3">
      <c r="A38" s="45"/>
      <c r="B38" s="45"/>
      <c r="C38" s="45"/>
      <c r="D38" s="45"/>
      <c r="E38" s="46" t="s">
        <v>49</v>
      </c>
      <c r="F38" s="46"/>
      <c r="G38" s="46"/>
      <c r="H38" s="46"/>
      <c r="I38" s="46"/>
      <c r="J38" s="29">
        <f t="shared" si="3"/>
        <v>0</v>
      </c>
      <c r="K38" s="46"/>
      <c r="L38" s="46"/>
      <c r="M38" s="46"/>
      <c r="N38" s="46"/>
      <c r="O38" s="46"/>
      <c r="P38" s="46"/>
      <c r="Q38" s="46"/>
      <c r="R38" s="46"/>
    </row>
    <row r="39" spans="1:19" ht="14.1" customHeight="1" x14ac:dyDescent="0.3">
      <c r="A39" s="45"/>
      <c r="B39" s="45"/>
      <c r="C39" s="45"/>
      <c r="D39" s="45"/>
      <c r="E39" s="46" t="s">
        <v>49</v>
      </c>
      <c r="F39" s="46"/>
      <c r="G39" s="46"/>
      <c r="H39" s="46"/>
      <c r="I39" s="46"/>
      <c r="J39" s="29"/>
      <c r="K39" s="46"/>
      <c r="L39" s="46"/>
      <c r="M39" s="46"/>
      <c r="N39" s="46"/>
      <c r="O39" s="46"/>
      <c r="P39" s="46"/>
      <c r="Q39" s="46"/>
      <c r="R39" s="46"/>
    </row>
    <row r="40" spans="1:19" x14ac:dyDescent="0.3">
      <c r="A40" s="47"/>
      <c r="B40" s="47"/>
      <c r="C40" s="47" t="s">
        <v>25</v>
      </c>
      <c r="D40" s="47"/>
      <c r="G40" s="37"/>
      <c r="H40" s="37"/>
      <c r="I40" s="37"/>
      <c r="J40" s="29"/>
      <c r="K40" s="37"/>
      <c r="L40" s="37"/>
      <c r="M40" s="37"/>
      <c r="N40" s="37"/>
      <c r="O40" s="37"/>
      <c r="P40" s="37"/>
      <c r="Q40" s="37"/>
      <c r="R40" s="37" t="s">
        <v>0</v>
      </c>
      <c r="S40" s="23" t="s">
        <v>45</v>
      </c>
    </row>
    <row r="41" spans="1:19" ht="14.4" customHeight="1" x14ac:dyDescent="0.3">
      <c r="A41" s="3"/>
      <c r="B41" s="47"/>
      <c r="C41" s="47" t="s">
        <v>26</v>
      </c>
      <c r="D41" s="3"/>
      <c r="E41" s="37">
        <v>2183626.88</v>
      </c>
      <c r="F41" s="37">
        <v>3094733.04</v>
      </c>
      <c r="G41" s="30">
        <v>2766287.62</v>
      </c>
      <c r="H41" s="30">
        <v>2316648.86</v>
      </c>
      <c r="I41" s="30">
        <v>1478721</v>
      </c>
      <c r="J41" s="29"/>
      <c r="K41" s="30">
        <f>K42+K37</f>
        <v>-53975</v>
      </c>
      <c r="L41" s="30">
        <f>L42+L37</f>
        <v>781790.45848198235</v>
      </c>
      <c r="M41" s="30">
        <f t="shared" ref="M41:Q41" si="15">M42+M37</f>
        <v>1508171.7073939294</v>
      </c>
      <c r="N41" s="30">
        <f t="shared" si="15"/>
        <v>1599955.903930977</v>
      </c>
      <c r="O41" s="30">
        <f t="shared" si="15"/>
        <v>328300.77012462914</v>
      </c>
      <c r="P41" s="30">
        <f t="shared" si="15"/>
        <v>132811.20705853403</v>
      </c>
      <c r="Q41" s="30">
        <f t="shared" si="15"/>
        <v>27341.811571612954</v>
      </c>
      <c r="R41" s="30"/>
      <c r="S41" s="33">
        <f>+Q41/Q54</f>
        <v>3.8299217777858181</v>
      </c>
    </row>
    <row r="42" spans="1:19" x14ac:dyDescent="0.3">
      <c r="A42" s="47"/>
      <c r="B42" s="47"/>
      <c r="C42" s="47" t="s">
        <v>27</v>
      </c>
      <c r="D42" s="3"/>
      <c r="E42" s="48">
        <v>2294387.94</v>
      </c>
      <c r="F42" s="30">
        <v>2183626.88</v>
      </c>
      <c r="G42" s="30">
        <v>3094733.04</v>
      </c>
      <c r="H42" s="30">
        <v>2766287.62</v>
      </c>
      <c r="I42" s="30">
        <v>2316649</v>
      </c>
      <c r="J42" s="29"/>
      <c r="K42" s="30">
        <f>I41</f>
        <v>1478721</v>
      </c>
      <c r="L42" s="30">
        <f>K41</f>
        <v>-53975</v>
      </c>
      <c r="M42" s="30">
        <f t="shared" ref="M42:Q42" si="16">L41</f>
        <v>781790.45848198235</v>
      </c>
      <c r="N42" s="30">
        <f t="shared" si="16"/>
        <v>1508171.7073939294</v>
      </c>
      <c r="O42" s="30">
        <f t="shared" si="16"/>
        <v>1599955.903930977</v>
      </c>
      <c r="P42" s="30">
        <f t="shared" si="16"/>
        <v>328300.77012462914</v>
      </c>
      <c r="Q42" s="30">
        <f t="shared" si="16"/>
        <v>132811.20705853403</v>
      </c>
      <c r="R42" s="30"/>
    </row>
    <row r="43" spans="1:19" ht="19.8" customHeight="1" x14ac:dyDescent="0.3">
      <c r="A43" s="45"/>
      <c r="B43" s="45"/>
      <c r="C43" s="45"/>
      <c r="D43" s="45"/>
      <c r="E43" s="30"/>
      <c r="F43" s="46"/>
      <c r="G43" s="46"/>
      <c r="H43" s="46"/>
      <c r="I43" s="46"/>
      <c r="J43" s="29">
        <f t="shared" si="3"/>
        <v>0</v>
      </c>
      <c r="K43" s="46"/>
      <c r="L43" s="46"/>
      <c r="M43" s="46"/>
      <c r="N43" s="46"/>
      <c r="O43" s="46"/>
      <c r="P43" s="46"/>
      <c r="Q43" s="46"/>
      <c r="R43" s="46"/>
    </row>
    <row r="44" spans="1:19" ht="13.2" customHeight="1" x14ac:dyDescent="0.3">
      <c r="A44" s="45"/>
      <c r="B44" s="45"/>
      <c r="C44" s="49" t="s">
        <v>25</v>
      </c>
      <c r="D44" s="45"/>
      <c r="E44" s="38">
        <f>E41-E42</f>
        <v>-110761.06000000006</v>
      </c>
      <c r="F44" s="38">
        <f t="shared" ref="F44:R44" si="17">F41-F42</f>
        <v>911106.16000000015</v>
      </c>
      <c r="G44" s="38">
        <f t="shared" si="17"/>
        <v>-328445.41999999993</v>
      </c>
      <c r="H44" s="38">
        <f t="shared" si="17"/>
        <v>-449638.76000000024</v>
      </c>
      <c r="I44" s="38">
        <f t="shared" si="17"/>
        <v>-837928</v>
      </c>
      <c r="J44" s="29">
        <f t="shared" si="3"/>
        <v>-815667.08000000007</v>
      </c>
      <c r="K44" s="38">
        <v>-1532696</v>
      </c>
      <c r="L44" s="38">
        <f>-(L41-L42)</f>
        <v>-835765.45848198235</v>
      </c>
      <c r="M44" s="38">
        <f t="shared" si="17"/>
        <v>726381.24891194701</v>
      </c>
      <c r="N44" s="38">
        <f t="shared" si="17"/>
        <v>91784.196537047625</v>
      </c>
      <c r="O44" s="38">
        <f t="shared" si="17"/>
        <v>-1271655.1338063478</v>
      </c>
      <c r="P44" s="38">
        <f>P41-P42</f>
        <v>-195489.56306609511</v>
      </c>
      <c r="Q44" s="38">
        <f>Q41-Q42</f>
        <v>-105469.39548692107</v>
      </c>
      <c r="R44" s="38">
        <f t="shared" si="17"/>
        <v>0</v>
      </c>
    </row>
    <row r="45" spans="1:19" ht="0" hidden="1" customHeight="1" x14ac:dyDescent="0.3"/>
    <row r="46" spans="1:19" ht="7.2" customHeight="1" x14ac:dyDescent="0.3"/>
    <row r="47" spans="1:19" x14ac:dyDescent="0.3">
      <c r="H47" s="50"/>
      <c r="K47" s="26"/>
    </row>
    <row r="48" spans="1:19" x14ac:dyDescent="0.3">
      <c r="C48" s="23" t="s">
        <v>28</v>
      </c>
      <c r="E48" s="26">
        <f>+E14</f>
        <v>-4709372.57</v>
      </c>
      <c r="F48" s="26">
        <f>+E48+F14</f>
        <v>-8921629.6999999993</v>
      </c>
      <c r="G48" s="26">
        <f t="shared" ref="G48:J49" si="18">+F48+G14</f>
        <v>-11304223.309999999</v>
      </c>
      <c r="H48" s="26">
        <f t="shared" si="18"/>
        <v>-18339023.52</v>
      </c>
      <c r="I48" s="26">
        <f t="shared" si="18"/>
        <v>-26020367.52</v>
      </c>
      <c r="J48" s="26"/>
      <c r="K48" s="26">
        <f>+I48+K14</f>
        <v>-32120367.52</v>
      </c>
      <c r="L48" s="26">
        <f>+K48+L14</f>
        <v>-36415367.519999996</v>
      </c>
      <c r="M48" s="26">
        <f t="shared" ref="M48:Q48" si="19">+L48+M14</f>
        <v>-40940367.519999996</v>
      </c>
      <c r="N48" s="26">
        <f t="shared" si="19"/>
        <v>-44940367.519999996</v>
      </c>
      <c r="O48" s="26">
        <f t="shared" si="19"/>
        <v>-48940367.519999996</v>
      </c>
      <c r="P48" s="26">
        <f t="shared" si="19"/>
        <v>-52940367.519999996</v>
      </c>
      <c r="Q48" s="26">
        <f t="shared" si="19"/>
        <v>-56940367.519999996</v>
      </c>
      <c r="R48" s="26"/>
    </row>
    <row r="49" spans="3:18" x14ac:dyDescent="0.3">
      <c r="C49" s="23" t="s">
        <v>29</v>
      </c>
      <c r="E49" s="26">
        <f>+E15</f>
        <v>19375.150000000001</v>
      </c>
      <c r="F49" s="26">
        <f>+E49+F15</f>
        <v>209832.83</v>
      </c>
      <c r="G49" s="26">
        <f t="shared" si="18"/>
        <v>502347.1</v>
      </c>
      <c r="H49" s="26">
        <f t="shared" si="18"/>
        <v>883296.6</v>
      </c>
      <c r="I49" s="26">
        <f t="shared" si="18"/>
        <v>1233241.6000000001</v>
      </c>
      <c r="J49" s="26">
        <f t="shared" si="18"/>
        <v>2466483.2000000002</v>
      </c>
      <c r="K49" s="26">
        <f t="shared" ref="K49:K50" si="20">+I49+K15</f>
        <v>1533241.6</v>
      </c>
      <c r="L49" s="26">
        <f t="shared" ref="L49:Q50" si="21">+K49+L15</f>
        <v>1908241.6</v>
      </c>
      <c r="M49" s="26">
        <f t="shared" si="21"/>
        <v>2283241.6</v>
      </c>
      <c r="N49" s="26">
        <f t="shared" si="21"/>
        <v>2283241.6</v>
      </c>
      <c r="O49" s="26">
        <f t="shared" si="21"/>
        <v>2283241.6</v>
      </c>
      <c r="P49" s="26">
        <f t="shared" si="21"/>
        <v>2283241.6</v>
      </c>
      <c r="Q49" s="26">
        <f t="shared" si="21"/>
        <v>2283241.6</v>
      </c>
      <c r="R49" s="26"/>
    </row>
    <row r="50" spans="3:18" x14ac:dyDescent="0.3">
      <c r="C50" s="23" t="s">
        <v>30</v>
      </c>
      <c r="E50" s="26">
        <f>+E48+E49</f>
        <v>-4689997.42</v>
      </c>
      <c r="F50" s="26">
        <f t="shared" ref="F50:J50" si="22">+F48+F49</f>
        <v>-8711796.8699999992</v>
      </c>
      <c r="G50" s="26">
        <f t="shared" si="22"/>
        <v>-10801876.209999999</v>
      </c>
      <c r="H50" s="26">
        <f t="shared" si="22"/>
        <v>-17455726.919999998</v>
      </c>
      <c r="I50" s="26">
        <f t="shared" si="22"/>
        <v>-24787125.919999998</v>
      </c>
      <c r="J50" s="26">
        <f t="shared" si="22"/>
        <v>2466483.2000000002</v>
      </c>
      <c r="K50" s="26">
        <f t="shared" si="20"/>
        <v>-24787125.919999998</v>
      </c>
      <c r="L50" s="26">
        <f t="shared" si="21"/>
        <v>-24787125.919999998</v>
      </c>
      <c r="M50" s="26">
        <f t="shared" si="21"/>
        <v>-24787125.919999998</v>
      </c>
      <c r="N50" s="26">
        <f t="shared" si="21"/>
        <v>-24787125.919999998</v>
      </c>
      <c r="O50" s="26">
        <f t="shared" si="21"/>
        <v>-24787125.919999998</v>
      </c>
      <c r="P50" s="26">
        <f t="shared" si="21"/>
        <v>-24787125.919999998</v>
      </c>
      <c r="Q50" s="26">
        <f t="shared" si="21"/>
        <v>-24787125.919999998</v>
      </c>
      <c r="R50" s="26"/>
    </row>
    <row r="51" spans="3:18" x14ac:dyDescent="0.3">
      <c r="C51" s="23" t="s">
        <v>31</v>
      </c>
      <c r="E51" s="26">
        <f>12041000+E25</f>
        <v>15041000</v>
      </c>
      <c r="F51" s="26">
        <f>+E51+F25</f>
        <v>17541000</v>
      </c>
      <c r="G51" s="26">
        <f>+F51+G25</f>
        <v>17541000</v>
      </c>
      <c r="H51" s="26">
        <f>+G51+H25</f>
        <v>17541000</v>
      </c>
      <c r="I51" s="26">
        <f>+H51+I25</f>
        <v>19541000</v>
      </c>
      <c r="K51" s="26">
        <f>+I51+K25</f>
        <v>23541000</v>
      </c>
      <c r="L51" s="26">
        <f>+K51+L25</f>
        <v>26541000</v>
      </c>
      <c r="M51" s="26">
        <f t="shared" ref="M51:Q51" si="23">+L51+M25</f>
        <v>29541000</v>
      </c>
      <c r="N51" s="26">
        <f t="shared" si="23"/>
        <v>32541000</v>
      </c>
      <c r="O51" s="26">
        <f t="shared" si="23"/>
        <v>35541000</v>
      </c>
      <c r="P51" s="26">
        <f t="shared" si="23"/>
        <v>40541000</v>
      </c>
      <c r="Q51" s="26">
        <f t="shared" si="23"/>
        <v>46541000</v>
      </c>
      <c r="R51" s="26"/>
    </row>
    <row r="52" spans="3:18" x14ac:dyDescent="0.3">
      <c r="C52" s="23" t="s">
        <v>32</v>
      </c>
      <c r="E52" s="26">
        <f>+E25+E26+E27+E63</f>
        <v>13028299.029999999</v>
      </c>
      <c r="F52" s="26">
        <f>+E52+F25+F26+F27</f>
        <v>13263293.649999999</v>
      </c>
      <c r="G52" s="26">
        <f t="shared" ref="G52:I52" si="24">+F52+G25+G26+G27</f>
        <v>11366294.369999999</v>
      </c>
      <c r="H52" s="26">
        <f>+G52+H25+H26+H27</f>
        <v>9455391.4299999997</v>
      </c>
      <c r="I52" s="26">
        <f t="shared" si="24"/>
        <v>9412891.4299999997</v>
      </c>
      <c r="K52" s="26">
        <f>+I52+K25+K26+K27</f>
        <v>11627891.43</v>
      </c>
      <c r="L52" s="26">
        <f>+K52+L25+L26+L27</f>
        <v>12567891.43</v>
      </c>
      <c r="M52" s="26">
        <f t="shared" ref="M52:P52" si="25">+L52+M25+M26+M27</f>
        <v>13757891.43</v>
      </c>
      <c r="N52" s="26">
        <f t="shared" si="25"/>
        <v>14647891.43</v>
      </c>
      <c r="O52" s="26">
        <f t="shared" si="25"/>
        <v>15237891.43</v>
      </c>
      <c r="P52" s="26">
        <f t="shared" si="25"/>
        <v>17327891.43</v>
      </c>
      <c r="Q52" s="26">
        <f>+P52+Q25+Q26+Q27</f>
        <v>19817891.43</v>
      </c>
      <c r="R52" s="26"/>
    </row>
    <row r="53" spans="3:18" x14ac:dyDescent="0.3">
      <c r="C53" s="23" t="s">
        <v>33</v>
      </c>
      <c r="E53" s="26">
        <f>-E44</f>
        <v>110761.06000000006</v>
      </c>
      <c r="F53" s="26">
        <f>+E53-F44</f>
        <v>-800345.10000000009</v>
      </c>
      <c r="G53" s="26">
        <f>+F53-G44</f>
        <v>-471899.68000000017</v>
      </c>
      <c r="H53" s="26">
        <f>+G53-H44</f>
        <v>-22260.919999999925</v>
      </c>
      <c r="I53" s="26">
        <f>+H53-I44</f>
        <v>815667.08000000007</v>
      </c>
      <c r="K53" s="26">
        <f>+I53-K44</f>
        <v>2348363.08</v>
      </c>
      <c r="L53" s="26">
        <f>+K53-L44</f>
        <v>3184128.5384819824</v>
      </c>
      <c r="M53" s="26">
        <f t="shared" ref="M53:Q53" si="26">+L53-M44</f>
        <v>2457747.2895700354</v>
      </c>
      <c r="N53" s="26">
        <f t="shared" si="26"/>
        <v>2365963.0930329878</v>
      </c>
      <c r="O53" s="26">
        <f t="shared" si="26"/>
        <v>3637618.2268393356</v>
      </c>
      <c r="P53" s="26">
        <f t="shared" si="26"/>
        <v>3833107.7899054307</v>
      </c>
      <c r="Q53" s="26">
        <f t="shared" si="26"/>
        <v>3938577.1853923518</v>
      </c>
      <c r="R53" s="26"/>
    </row>
    <row r="54" spans="3:18" x14ac:dyDescent="0.3">
      <c r="C54" s="23" t="s">
        <v>34</v>
      </c>
      <c r="E54" s="26">
        <v>8080</v>
      </c>
      <c r="F54" s="26">
        <v>7998</v>
      </c>
      <c r="G54" s="26">
        <v>7885</v>
      </c>
      <c r="H54" s="26">
        <v>7765</v>
      </c>
      <c r="I54" s="26">
        <v>7664</v>
      </c>
      <c r="K54" s="26">
        <v>7581</v>
      </c>
      <c r="L54" s="23">
        <v>7500</v>
      </c>
      <c r="M54" s="23">
        <v>7422</v>
      </c>
      <c r="N54" s="26">
        <v>7346</v>
      </c>
      <c r="O54" s="26">
        <v>7275</v>
      </c>
      <c r="P54" s="26">
        <v>7207</v>
      </c>
      <c r="Q54" s="26">
        <v>7139</v>
      </c>
      <c r="R54" s="26"/>
    </row>
    <row r="55" spans="3:18" x14ac:dyDescent="0.3">
      <c r="C55" s="23" t="s">
        <v>35</v>
      </c>
      <c r="E55" s="26">
        <f>-E48/E54</f>
        <v>582.84313985148515</v>
      </c>
      <c r="F55" s="26">
        <f>-F48/F54</f>
        <v>1115.4825831457863</v>
      </c>
      <c r="G55" s="26">
        <f>-G48/G54</f>
        <v>1433.636437539632</v>
      </c>
      <c r="H55" s="26">
        <f>-H48/H54</f>
        <v>2361.7544777849325</v>
      </c>
      <c r="I55" s="26">
        <f>-I48/I54</f>
        <v>3395.1418997912315</v>
      </c>
      <c r="J55" s="26"/>
      <c r="K55" s="26">
        <f>-K48/K54</f>
        <v>4236.9565387152088</v>
      </c>
      <c r="L55" s="26">
        <f t="shared" ref="L55:L57" si="27">+K55-40</f>
        <v>4196.9565387152088</v>
      </c>
      <c r="M55" s="26">
        <f>-M48/M54</f>
        <v>5516.0829318243059</v>
      </c>
      <c r="N55" s="26">
        <f t="shared" ref="N55:Q55" si="28">-N48/N54</f>
        <v>6117.6650585352563</v>
      </c>
      <c r="O55" s="26">
        <f t="shared" si="28"/>
        <v>6727.1982845360817</v>
      </c>
      <c r="P55" s="26">
        <f t="shared" si="28"/>
        <v>7345.6871819064791</v>
      </c>
      <c r="Q55" s="26">
        <f t="shared" si="28"/>
        <v>7975.9584703740011</v>
      </c>
      <c r="R55" s="26"/>
    </row>
    <row r="56" spans="3:18" x14ac:dyDescent="0.3">
      <c r="C56" s="23" t="s">
        <v>36</v>
      </c>
      <c r="E56" s="26">
        <f>+E42/E54</f>
        <v>283.95890346534651</v>
      </c>
      <c r="F56" s="26">
        <f>+F42/F54</f>
        <v>273.02161540385094</v>
      </c>
      <c r="G56" s="26">
        <f>+G41/G54</f>
        <v>350.82912111604315</v>
      </c>
      <c r="H56" s="26">
        <f>+H41/H54</f>
        <v>298.34499162910492</v>
      </c>
      <c r="I56" s="26">
        <f>+I41/I54</f>
        <v>192.94376304801671</v>
      </c>
      <c r="J56" s="26"/>
      <c r="K56" s="26">
        <f>+K41/K54</f>
        <v>-7.1197731170030343</v>
      </c>
      <c r="L56" s="26">
        <f t="shared" si="27"/>
        <v>-47.119773117003035</v>
      </c>
      <c r="M56" s="26">
        <f>+M41/M54</f>
        <v>203.20287084262051</v>
      </c>
      <c r="N56" s="26">
        <f>+N41/N54</f>
        <v>217.79960576245261</v>
      </c>
      <c r="O56" s="26">
        <f t="shared" ref="O56:Q56" si="29">+O41/O54</f>
        <v>45.127253625378579</v>
      </c>
      <c r="P56" s="26">
        <f t="shared" si="29"/>
        <v>18.428084786809215</v>
      </c>
      <c r="Q56" s="26">
        <f t="shared" si="29"/>
        <v>3.8299217777858181</v>
      </c>
      <c r="R56" s="26"/>
    </row>
    <row r="57" spans="3:18" x14ac:dyDescent="0.3">
      <c r="C57" s="23" t="s">
        <v>37</v>
      </c>
      <c r="E57" s="26">
        <f>-E52/E54</f>
        <v>-1612.4132462871287</v>
      </c>
      <c r="F57" s="26">
        <f t="shared" ref="F57:H57" si="30">-F52/F54</f>
        <v>-1658.3262878219552</v>
      </c>
      <c r="G57" s="26">
        <f t="shared" si="30"/>
        <v>-1441.50848065948</v>
      </c>
      <c r="H57" s="26">
        <f t="shared" si="30"/>
        <v>-1217.6936806181584</v>
      </c>
      <c r="I57" s="26">
        <f>-I52/I54</f>
        <v>-1228.1956458768266</v>
      </c>
      <c r="J57" s="26"/>
      <c r="K57" s="26">
        <f t="shared" ref="K57" si="31">-K52/K54</f>
        <v>-1533.8202651365254</v>
      </c>
      <c r="L57" s="26">
        <f t="shared" si="27"/>
        <v>-1573.8202651365254</v>
      </c>
      <c r="M57" s="26">
        <f>-M52/M54</f>
        <v>-1853.6636257073565</v>
      </c>
      <c r="N57" s="26">
        <f t="shared" ref="N57:P57" si="32">-N52/N54</f>
        <v>-1993.995566294582</v>
      </c>
      <c r="O57" s="26">
        <f t="shared" si="32"/>
        <v>-2094.5555230240548</v>
      </c>
      <c r="P57" s="26">
        <f t="shared" si="32"/>
        <v>-2404.3140599417234</v>
      </c>
      <c r="Q57" s="26">
        <f>-Q52/Q54</f>
        <v>-2776.0038422748285</v>
      </c>
      <c r="R57" s="26"/>
    </row>
    <row r="63" spans="3:18" x14ac:dyDescent="0.3">
      <c r="C63" s="23" t="s">
        <v>38</v>
      </c>
      <c r="E63" s="24">
        <v>12041000</v>
      </c>
    </row>
    <row r="66" spans="8:8" x14ac:dyDescent="0.3">
      <c r="H66" s="24">
        <v>7139</v>
      </c>
    </row>
  </sheetData>
  <mergeCells count="30">
    <mergeCell ref="A13:D13"/>
    <mergeCell ref="C8:D8"/>
    <mergeCell ref="A9:D9"/>
    <mergeCell ref="C10:D10"/>
    <mergeCell ref="C11:D11"/>
    <mergeCell ref="C12:D12"/>
    <mergeCell ref="C25:D25"/>
    <mergeCell ref="C14:D14"/>
    <mergeCell ref="C15:D15"/>
    <mergeCell ref="C16:D16"/>
    <mergeCell ref="C17:D17"/>
    <mergeCell ref="A18:D18"/>
    <mergeCell ref="C19:D19"/>
    <mergeCell ref="A20:D20"/>
    <mergeCell ref="B21:D21"/>
    <mergeCell ref="C22:D22"/>
    <mergeCell ref="C23:D23"/>
    <mergeCell ref="B24:D24"/>
    <mergeCell ref="A37:D37"/>
    <mergeCell ref="C26:D26"/>
    <mergeCell ref="C27:D27"/>
    <mergeCell ref="B28:D28"/>
    <mergeCell ref="B29:D29"/>
    <mergeCell ref="C30:D30"/>
    <mergeCell ref="C31:D31"/>
    <mergeCell ref="C32:D32"/>
    <mergeCell ref="C33:D33"/>
    <mergeCell ref="C34:D34"/>
    <mergeCell ref="A35:D35"/>
    <mergeCell ref="C36:D36"/>
  </mergeCells>
  <pageMargins left="0.59055118110236204" right="0.39370078740157499" top="0.39370078740157499" bottom="0.39370078740157499" header="0.39370078740157499" footer="0.39370078740157499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60"/>
  <sheetViews>
    <sheetView showGridLines="0" tabSelected="1" zoomScale="90" zoomScaleNormal="90" zoomScaleSheetLayoutView="80" workbookViewId="0">
      <pane ySplit="7" topLeftCell="A26" activePane="bottomLeft" state="frozen"/>
      <selection pane="bottomLeft" activeCell="B52" sqref="B52"/>
    </sheetView>
  </sheetViews>
  <sheetFormatPr defaultRowHeight="14.4" x14ac:dyDescent="0.3"/>
  <cols>
    <col min="1" max="1" width="3.5546875" style="23" customWidth="1"/>
    <col min="2" max="2" width="3.88671875" style="23" customWidth="1"/>
    <col min="3" max="3" width="19.109375" style="23" customWidth="1"/>
    <col min="4" max="4" width="24.33203125" style="23" customWidth="1"/>
    <col min="5" max="5" width="12.6640625" style="24" customWidth="1"/>
    <col min="6" max="9" width="14" style="24" customWidth="1"/>
    <col min="10" max="10" width="10.88671875" style="24" customWidth="1"/>
    <col min="11" max="11" width="13.44140625" style="24" customWidth="1"/>
    <col min="12" max="18" width="12.88671875" style="24" customWidth="1"/>
    <col min="19" max="19" width="16.5546875" style="23" customWidth="1"/>
    <col min="20" max="16384" width="8.88671875" style="23"/>
  </cols>
  <sheetData>
    <row r="1" spans="1:19" ht="7.2" customHeight="1" x14ac:dyDescent="0.3"/>
    <row r="2" spans="1:19" ht="14.1" customHeight="1" x14ac:dyDescent="0.3">
      <c r="A2" s="25" t="s">
        <v>46</v>
      </c>
    </row>
    <row r="3" spans="1:19" ht="0" hidden="1" customHeight="1" x14ac:dyDescent="0.3">
      <c r="A3" s="25"/>
    </row>
    <row r="4" spans="1:19" ht="14.1" customHeight="1" x14ac:dyDescent="0.3">
      <c r="A4" s="25" t="s">
        <v>47</v>
      </c>
    </row>
    <row r="5" spans="1:19" ht="0" hidden="1" customHeight="1" x14ac:dyDescent="0.3"/>
    <row r="6" spans="1:19" ht="7.2" customHeight="1" x14ac:dyDescent="0.3"/>
    <row r="7" spans="1:19" ht="2.85" customHeight="1" x14ac:dyDescent="0.3">
      <c r="E7" s="26"/>
      <c r="F7" s="26"/>
      <c r="G7" s="26"/>
      <c r="H7" s="26"/>
    </row>
    <row r="8" spans="1:19" ht="23.25" customHeight="1" x14ac:dyDescent="0.3">
      <c r="A8" s="1" t="s">
        <v>0</v>
      </c>
      <c r="B8" s="1" t="s">
        <v>0</v>
      </c>
      <c r="C8" s="83" t="s">
        <v>0</v>
      </c>
      <c r="D8" s="77"/>
      <c r="E8" s="27">
        <v>2014</v>
      </c>
      <c r="F8" s="27">
        <v>2015</v>
      </c>
      <c r="G8" s="27">
        <v>2016</v>
      </c>
      <c r="H8" s="27">
        <v>2017</v>
      </c>
      <c r="I8" s="28" t="s">
        <v>50</v>
      </c>
      <c r="J8" s="28" t="s">
        <v>40</v>
      </c>
      <c r="K8" s="27">
        <v>2019</v>
      </c>
      <c r="L8" s="27">
        <f>+K8+1</f>
        <v>2020</v>
      </c>
      <c r="M8" s="27">
        <f t="shared" ref="M8:O8" si="0">+L8+1</f>
        <v>2021</v>
      </c>
      <c r="N8" s="27">
        <f t="shared" si="0"/>
        <v>2022</v>
      </c>
      <c r="O8" s="27">
        <f t="shared" si="0"/>
        <v>2023</v>
      </c>
      <c r="P8" s="27">
        <v>2024</v>
      </c>
      <c r="Q8" s="27">
        <v>2025</v>
      </c>
      <c r="R8" s="27" t="s">
        <v>41</v>
      </c>
    </row>
    <row r="9" spans="1:19" ht="15" customHeight="1" x14ac:dyDescent="0.3">
      <c r="A9" s="76" t="s">
        <v>1</v>
      </c>
      <c r="B9" s="77"/>
      <c r="C9" s="77"/>
      <c r="D9" s="77"/>
      <c r="E9" s="29">
        <f t="shared" ref="E9:G9" si="1">+E10+E11+E12</f>
        <v>335329.93000000005</v>
      </c>
      <c r="F9" s="29">
        <f t="shared" si="1"/>
        <v>-498887.33</v>
      </c>
      <c r="G9" s="29">
        <f t="shared" si="1"/>
        <v>322178.53000000003</v>
      </c>
      <c r="H9" s="29">
        <f>+H10+H11+H12</f>
        <v>1768027.71</v>
      </c>
      <c r="I9" s="29">
        <f>+I10+I11+I12</f>
        <v>799534.21</v>
      </c>
      <c r="J9" s="29">
        <f>SUM(E9:I9)</f>
        <v>2726183.05</v>
      </c>
      <c r="K9" s="29">
        <f>+K10+K11+K12</f>
        <v>0</v>
      </c>
      <c r="L9" s="29">
        <f t="shared" ref="L9:Q9" si="2">+L10+L11+L12</f>
        <v>53810</v>
      </c>
      <c r="M9" s="29">
        <f t="shared" si="2"/>
        <v>184021</v>
      </c>
      <c r="N9" s="29">
        <f t="shared" si="2"/>
        <v>-80432</v>
      </c>
      <c r="O9" s="29">
        <f t="shared" si="2"/>
        <v>-247061</v>
      </c>
      <c r="P9" s="29">
        <f t="shared" si="2"/>
        <v>-666650</v>
      </c>
      <c r="Q9" s="29">
        <f t="shared" si="2"/>
        <v>-415593</v>
      </c>
      <c r="R9" s="29">
        <f>SUM(K9:Q9)</f>
        <v>-1171905</v>
      </c>
    </row>
    <row r="10" spans="1:19" ht="15" customHeight="1" x14ac:dyDescent="0.3">
      <c r="A10" s="2" t="s">
        <v>0</v>
      </c>
      <c r="B10" s="2" t="s">
        <v>0</v>
      </c>
      <c r="C10" s="78" t="s">
        <v>2</v>
      </c>
      <c r="D10" s="77"/>
      <c r="E10" s="30">
        <v>329592.65000000002</v>
      </c>
      <c r="F10" s="30">
        <v>-451855.57</v>
      </c>
      <c r="G10" s="30">
        <v>322178.53000000003</v>
      </c>
      <c r="H10" s="30">
        <v>1803103.39</v>
      </c>
      <c r="I10" s="30">
        <f>+'[3]Konsernin rahoituslaskelma'!E10</f>
        <v>844534.21</v>
      </c>
      <c r="J10" s="29">
        <f t="shared" ref="J10:J44" si="3">SUM(E10:I10)</f>
        <v>2847553.21</v>
      </c>
      <c r="K10" s="30">
        <f>+Valtimo!H199</f>
        <v>0</v>
      </c>
      <c r="L10" s="31">
        <v>53810</v>
      </c>
      <c r="M10" s="31">
        <v>184021</v>
      </c>
      <c r="N10" s="31">
        <v>-80432</v>
      </c>
      <c r="O10" s="31">
        <v>-247061</v>
      </c>
      <c r="P10" s="31">
        <v>-666650</v>
      </c>
      <c r="Q10" s="31">
        <v>-415593</v>
      </c>
      <c r="R10" s="29">
        <f t="shared" ref="R10:R37" si="4">SUM(K10:Q10)</f>
        <v>-1171905</v>
      </c>
    </row>
    <row r="11" spans="1:19" ht="15" customHeight="1" x14ac:dyDescent="0.3">
      <c r="A11" s="2" t="s">
        <v>0</v>
      </c>
      <c r="B11" s="2" t="s">
        <v>0</v>
      </c>
      <c r="C11" s="78" t="s">
        <v>3</v>
      </c>
      <c r="D11" s="77"/>
      <c r="E11" s="30"/>
      <c r="F11" s="30"/>
      <c r="G11" s="30">
        <v>0</v>
      </c>
      <c r="H11" s="30">
        <v>126200.68</v>
      </c>
      <c r="I11" s="30">
        <f>+'[3]Konsernin rahoituslaskelma'!$E$255</f>
        <v>0</v>
      </c>
      <c r="J11" s="29">
        <f t="shared" si="3"/>
        <v>126200.68</v>
      </c>
      <c r="K11" s="30"/>
      <c r="L11" s="30"/>
      <c r="M11" s="30"/>
      <c r="N11" s="30"/>
      <c r="O11" s="30"/>
      <c r="P11" s="30"/>
      <c r="Q11" s="30"/>
      <c r="R11" s="29">
        <f t="shared" si="4"/>
        <v>0</v>
      </c>
      <c r="S11" s="32"/>
    </row>
    <row r="12" spans="1:19" x14ac:dyDescent="0.3">
      <c r="A12" s="2" t="s">
        <v>0</v>
      </c>
      <c r="B12" s="2" t="s">
        <v>0</v>
      </c>
      <c r="C12" s="78" t="s">
        <v>4</v>
      </c>
      <c r="D12" s="77"/>
      <c r="E12" s="30">
        <v>5737.28</v>
      </c>
      <c r="F12" s="30">
        <v>-47031.76</v>
      </c>
      <c r="G12" s="30"/>
      <c r="H12" s="30">
        <v>-161276.35999999999</v>
      </c>
      <c r="I12" s="30">
        <f>+'[3]Konsernin rahoituslaskelma'!$E$258</f>
        <v>-45000</v>
      </c>
      <c r="J12" s="29">
        <f t="shared" si="3"/>
        <v>-247570.84</v>
      </c>
      <c r="K12" s="30"/>
      <c r="L12" s="30"/>
      <c r="M12" s="30"/>
      <c r="N12" s="30"/>
      <c r="O12" s="30"/>
      <c r="P12" s="30"/>
      <c r="Q12" s="30"/>
      <c r="R12" s="29">
        <f t="shared" si="4"/>
        <v>0</v>
      </c>
      <c r="S12" s="23" t="s">
        <v>42</v>
      </c>
    </row>
    <row r="13" spans="1:19" ht="15" customHeight="1" x14ac:dyDescent="0.3">
      <c r="A13" s="76" t="s">
        <v>5</v>
      </c>
      <c r="B13" s="77"/>
      <c r="C13" s="77"/>
      <c r="D13" s="77"/>
      <c r="E13" s="29">
        <f t="shared" ref="E13:G13" si="5">+E14+E15+E16</f>
        <v>-2509278.54</v>
      </c>
      <c r="F13" s="29">
        <f t="shared" si="5"/>
        <v>-3493943.36</v>
      </c>
      <c r="G13" s="29">
        <f t="shared" si="5"/>
        <v>-2690422.44</v>
      </c>
      <c r="H13" s="29">
        <f>+H14+H15+H16</f>
        <v>-1042609.1799999999</v>
      </c>
      <c r="I13" s="29">
        <f>+I14+I15+I16</f>
        <v>-444991.88999999996</v>
      </c>
      <c r="J13" s="29">
        <f t="shared" si="3"/>
        <v>-10181245.41</v>
      </c>
      <c r="K13" s="29">
        <f>+K14+K15+K16</f>
        <v>-500000</v>
      </c>
      <c r="L13" s="29">
        <f t="shared" ref="L13:Q13" si="6">+L14+L15+L16</f>
        <v>-500000</v>
      </c>
      <c r="M13" s="29">
        <f t="shared" si="6"/>
        <v>-500000</v>
      </c>
      <c r="N13" s="29">
        <f t="shared" si="6"/>
        <v>-500000</v>
      </c>
      <c r="O13" s="29">
        <f t="shared" si="6"/>
        <v>-500000</v>
      </c>
      <c r="P13" s="29">
        <f t="shared" si="6"/>
        <v>-500000</v>
      </c>
      <c r="Q13" s="29">
        <f t="shared" si="6"/>
        <v>-500000</v>
      </c>
      <c r="R13" s="29">
        <f t="shared" si="4"/>
        <v>-3500000</v>
      </c>
      <c r="S13" s="33">
        <f>+J13+R13</f>
        <v>-13681245.41</v>
      </c>
    </row>
    <row r="14" spans="1:19" x14ac:dyDescent="0.3">
      <c r="A14" s="2" t="s">
        <v>0</v>
      </c>
      <c r="B14" s="2" t="s">
        <v>0</v>
      </c>
      <c r="C14" s="81" t="s">
        <v>6</v>
      </c>
      <c r="D14" s="82"/>
      <c r="E14" s="35">
        <v>-4185946.3</v>
      </c>
      <c r="F14" s="35">
        <v>-4849392.16</v>
      </c>
      <c r="G14" s="35">
        <v>-2690422.44</v>
      </c>
      <c r="H14" s="35">
        <v>-1769075.18</v>
      </c>
      <c r="I14" s="35">
        <f>+'[3]Konsernin rahoituslaskelma'!$E$263</f>
        <v>-524448.32999999996</v>
      </c>
      <c r="J14" s="36">
        <f t="shared" si="3"/>
        <v>-14019284.41</v>
      </c>
      <c r="K14" s="35">
        <v>-500000</v>
      </c>
      <c r="L14" s="35">
        <f>+K14</f>
        <v>-500000</v>
      </c>
      <c r="M14" s="35">
        <f t="shared" ref="M14:Q15" si="7">+L14</f>
        <v>-500000</v>
      </c>
      <c r="N14" s="35">
        <f t="shared" si="7"/>
        <v>-500000</v>
      </c>
      <c r="O14" s="35">
        <f t="shared" si="7"/>
        <v>-500000</v>
      </c>
      <c r="P14" s="35">
        <f t="shared" si="7"/>
        <v>-500000</v>
      </c>
      <c r="Q14" s="35">
        <f t="shared" si="7"/>
        <v>-500000</v>
      </c>
      <c r="R14" s="36">
        <f t="shared" si="4"/>
        <v>-3500000</v>
      </c>
    </row>
    <row r="15" spans="1:19" ht="15" customHeight="1" x14ac:dyDescent="0.3">
      <c r="A15" s="2" t="s">
        <v>0</v>
      </c>
      <c r="B15" s="2" t="s">
        <v>0</v>
      </c>
      <c r="C15" s="78" t="s">
        <v>7</v>
      </c>
      <c r="D15" s="77"/>
      <c r="E15" s="30">
        <v>1611917.76</v>
      </c>
      <c r="F15" s="30">
        <v>1306802.6000000001</v>
      </c>
      <c r="G15" s="30">
        <v>0</v>
      </c>
      <c r="H15" s="30">
        <v>3250</v>
      </c>
      <c r="I15" s="30">
        <f>+'[3]Konsernin rahoituslaskelma'!$E$278</f>
        <v>34456.44</v>
      </c>
      <c r="J15" s="29">
        <f t="shared" si="3"/>
        <v>2956426.8000000003</v>
      </c>
      <c r="K15" s="30">
        <v>0</v>
      </c>
      <c r="L15" s="30">
        <v>0</v>
      </c>
      <c r="M15" s="30">
        <v>0</v>
      </c>
      <c r="N15" s="30">
        <v>0</v>
      </c>
      <c r="O15" s="30">
        <f>+N15</f>
        <v>0</v>
      </c>
      <c r="P15" s="30">
        <f t="shared" si="7"/>
        <v>0</v>
      </c>
      <c r="Q15" s="30">
        <f t="shared" si="7"/>
        <v>0</v>
      </c>
      <c r="R15" s="29">
        <f t="shared" si="4"/>
        <v>0</v>
      </c>
    </row>
    <row r="16" spans="1:19" ht="20.25" customHeight="1" x14ac:dyDescent="0.3">
      <c r="A16" s="2" t="s">
        <v>0</v>
      </c>
      <c r="B16" s="2" t="s">
        <v>0</v>
      </c>
      <c r="C16" s="78" t="s">
        <v>8</v>
      </c>
      <c r="D16" s="77"/>
      <c r="E16" s="30">
        <v>64750</v>
      </c>
      <c r="F16" s="30">
        <v>48646.2</v>
      </c>
      <c r="G16" s="30">
        <v>0</v>
      </c>
      <c r="H16" s="30">
        <v>723216</v>
      </c>
      <c r="I16" s="30">
        <f>+'[3]Konsernin rahoituslaskelma'!$E$281</f>
        <v>45000</v>
      </c>
      <c r="J16" s="29">
        <f t="shared" si="3"/>
        <v>881612.2</v>
      </c>
      <c r="K16" s="30"/>
      <c r="L16" s="30"/>
      <c r="M16" s="30"/>
      <c r="N16" s="30"/>
      <c r="O16" s="30"/>
      <c r="P16" s="30"/>
      <c r="Q16" s="30"/>
      <c r="R16" s="29">
        <f t="shared" si="4"/>
        <v>0</v>
      </c>
    </row>
    <row r="17" spans="1:19" x14ac:dyDescent="0.3">
      <c r="A17" s="3" t="s">
        <v>0</v>
      </c>
      <c r="B17" s="3" t="s">
        <v>0</v>
      </c>
      <c r="C17" s="76" t="s">
        <v>0</v>
      </c>
      <c r="D17" s="77"/>
      <c r="E17" s="37" t="s">
        <v>0</v>
      </c>
      <c r="F17" s="37" t="s">
        <v>0</v>
      </c>
      <c r="G17" s="37" t="s">
        <v>0</v>
      </c>
      <c r="H17" s="37" t="s">
        <v>0</v>
      </c>
      <c r="I17" s="37" t="s">
        <v>0</v>
      </c>
      <c r="J17" s="29">
        <f t="shared" si="3"/>
        <v>0</v>
      </c>
      <c r="K17" s="37" t="s">
        <v>0</v>
      </c>
      <c r="L17" s="37" t="s">
        <v>0</v>
      </c>
      <c r="M17" s="37" t="s">
        <v>0</v>
      </c>
      <c r="N17" s="37" t="s">
        <v>0</v>
      </c>
      <c r="O17" s="37" t="s">
        <v>0</v>
      </c>
      <c r="P17" s="37" t="s">
        <v>0</v>
      </c>
      <c r="Q17" s="37" t="s">
        <v>0</v>
      </c>
      <c r="R17" s="29">
        <f t="shared" si="4"/>
        <v>0</v>
      </c>
    </row>
    <row r="18" spans="1:19" ht="15" customHeight="1" x14ac:dyDescent="0.3">
      <c r="A18" s="76" t="s">
        <v>9</v>
      </c>
      <c r="B18" s="77"/>
      <c r="C18" s="77"/>
      <c r="D18" s="77"/>
      <c r="E18" s="38">
        <f t="shared" ref="E18:G18" si="8">+E9+E13</f>
        <v>-2173948.61</v>
      </c>
      <c r="F18" s="38">
        <f t="shared" si="8"/>
        <v>-3992830.69</v>
      </c>
      <c r="G18" s="38">
        <f t="shared" si="8"/>
        <v>-2368243.91</v>
      </c>
      <c r="H18" s="38">
        <f>+H9+H13</f>
        <v>725418.53</v>
      </c>
      <c r="I18" s="38">
        <f>+I9+I13</f>
        <v>354542.32</v>
      </c>
      <c r="J18" s="36">
        <f t="shared" si="3"/>
        <v>-7455062.3600000003</v>
      </c>
      <c r="K18" s="38">
        <f>+K9+K13</f>
        <v>-500000</v>
      </c>
      <c r="L18" s="38">
        <f t="shared" ref="L18:Q18" si="9">+L9+L13</f>
        <v>-446190</v>
      </c>
      <c r="M18" s="38">
        <f t="shared" si="9"/>
        <v>-315979</v>
      </c>
      <c r="N18" s="38">
        <f t="shared" si="9"/>
        <v>-580432</v>
      </c>
      <c r="O18" s="38">
        <f t="shared" si="9"/>
        <v>-747061</v>
      </c>
      <c r="P18" s="38">
        <f t="shared" si="9"/>
        <v>-1166650</v>
      </c>
      <c r="Q18" s="38">
        <f t="shared" si="9"/>
        <v>-915593</v>
      </c>
      <c r="R18" s="36">
        <f>SUM(K18:Q18)</f>
        <v>-4671905</v>
      </c>
      <c r="S18" s="39">
        <f>+R24-R44</f>
        <v>4671905</v>
      </c>
    </row>
    <row r="19" spans="1:19" ht="38.25" customHeight="1" x14ac:dyDescent="0.3">
      <c r="A19" s="3" t="s">
        <v>0</v>
      </c>
      <c r="B19" s="3" t="s">
        <v>0</v>
      </c>
      <c r="C19" s="76" t="s">
        <v>0</v>
      </c>
      <c r="D19" s="77"/>
      <c r="E19" s="37" t="s">
        <v>0</v>
      </c>
      <c r="F19" s="37" t="s">
        <v>0</v>
      </c>
      <c r="G19" s="37" t="s">
        <v>0</v>
      </c>
      <c r="H19" s="37" t="s">
        <v>0</v>
      </c>
      <c r="I19" s="37" t="s">
        <v>0</v>
      </c>
      <c r="J19" s="29">
        <f t="shared" si="3"/>
        <v>0</v>
      </c>
      <c r="K19" s="37" t="s">
        <v>0</v>
      </c>
      <c r="L19" s="37" t="s">
        <v>0</v>
      </c>
      <c r="M19" s="37" t="s">
        <v>0</v>
      </c>
      <c r="N19" s="37" t="s">
        <v>0</v>
      </c>
      <c r="O19" s="37" t="s">
        <v>0</v>
      </c>
      <c r="P19" s="37" t="s">
        <v>0</v>
      </c>
      <c r="Q19" s="37" t="s">
        <v>0</v>
      </c>
      <c r="R19" s="29">
        <f t="shared" si="4"/>
        <v>0</v>
      </c>
      <c r="S19" s="39"/>
    </row>
    <row r="20" spans="1:19" ht="15" customHeight="1" x14ac:dyDescent="0.3">
      <c r="A20" s="76" t="s">
        <v>10</v>
      </c>
      <c r="B20" s="77"/>
      <c r="C20" s="77"/>
      <c r="D20" s="77"/>
      <c r="E20" s="37" t="s">
        <v>0</v>
      </c>
      <c r="F20" s="37" t="s">
        <v>0</v>
      </c>
      <c r="G20" s="37" t="s">
        <v>0</v>
      </c>
      <c r="H20" s="37" t="s">
        <v>0</v>
      </c>
      <c r="I20" s="37" t="s">
        <v>0</v>
      </c>
      <c r="J20" s="29">
        <f t="shared" si="3"/>
        <v>0</v>
      </c>
      <c r="K20" s="37" t="s">
        <v>0</v>
      </c>
      <c r="L20" s="37" t="s">
        <v>0</v>
      </c>
      <c r="M20" s="37" t="s">
        <v>0</v>
      </c>
      <c r="N20" s="37" t="s">
        <v>0</v>
      </c>
      <c r="O20" s="37" t="s">
        <v>0</v>
      </c>
      <c r="P20" s="37" t="s">
        <v>0</v>
      </c>
      <c r="Q20" s="37" t="s">
        <v>0</v>
      </c>
      <c r="R20" s="29">
        <f t="shared" si="4"/>
        <v>0</v>
      </c>
    </row>
    <row r="21" spans="1:19" ht="15" customHeight="1" x14ac:dyDescent="0.3">
      <c r="A21" s="1" t="s">
        <v>0</v>
      </c>
      <c r="B21" s="79" t="s">
        <v>11</v>
      </c>
      <c r="C21" s="80"/>
      <c r="D21" s="80"/>
      <c r="E21" s="29">
        <f t="shared" ref="E21:G21" si="10">+E22+E23</f>
        <v>-523358.54</v>
      </c>
      <c r="F21" s="29">
        <f t="shared" si="10"/>
        <v>478805.55</v>
      </c>
      <c r="G21" s="29">
        <f t="shared" si="10"/>
        <v>-143062.96</v>
      </c>
      <c r="H21" s="29">
        <f>+H22+H23</f>
        <v>0</v>
      </c>
      <c r="I21" s="29">
        <f>+I22+I23</f>
        <v>138062.96</v>
      </c>
      <c r="J21" s="29">
        <f t="shared" si="3"/>
        <v>-49552.989999999991</v>
      </c>
      <c r="K21" s="29">
        <f>+K22+K23</f>
        <v>0</v>
      </c>
      <c r="L21" s="29">
        <f t="shared" ref="L21:Q21" si="11">+L22+L23</f>
        <v>0</v>
      </c>
      <c r="M21" s="29">
        <f t="shared" si="11"/>
        <v>0</v>
      </c>
      <c r="N21" s="29">
        <f t="shared" si="11"/>
        <v>0</v>
      </c>
      <c r="O21" s="29">
        <f t="shared" si="11"/>
        <v>0</v>
      </c>
      <c r="P21" s="29">
        <f t="shared" si="11"/>
        <v>0</v>
      </c>
      <c r="Q21" s="29">
        <f t="shared" si="11"/>
        <v>0</v>
      </c>
      <c r="R21" s="29">
        <f t="shared" si="4"/>
        <v>0</v>
      </c>
    </row>
    <row r="22" spans="1:19" ht="15" customHeight="1" x14ac:dyDescent="0.3">
      <c r="A22" s="2" t="s">
        <v>0</v>
      </c>
      <c r="B22" s="2" t="s">
        <v>0</v>
      </c>
      <c r="C22" s="78" t="s">
        <v>12</v>
      </c>
      <c r="D22" s="77"/>
      <c r="E22" s="30">
        <v>-537110</v>
      </c>
      <c r="F22" s="30">
        <v>-28070.240000000002</v>
      </c>
      <c r="G22" s="30">
        <v>-143062.96</v>
      </c>
      <c r="H22" s="30">
        <v>0</v>
      </c>
      <c r="I22" s="30"/>
      <c r="J22" s="29">
        <f t="shared" si="3"/>
        <v>-708243.2</v>
      </c>
      <c r="K22" s="30"/>
      <c r="L22" s="30"/>
      <c r="M22" s="30"/>
      <c r="N22" s="30"/>
      <c r="O22" s="30"/>
      <c r="P22" s="30"/>
      <c r="Q22" s="30"/>
      <c r="R22" s="29">
        <f t="shared" si="4"/>
        <v>0</v>
      </c>
    </row>
    <row r="23" spans="1:19" ht="15" customHeight="1" x14ac:dyDescent="0.3">
      <c r="A23" s="2"/>
      <c r="B23" s="2"/>
      <c r="C23" s="78" t="s">
        <v>13</v>
      </c>
      <c r="D23" s="77"/>
      <c r="E23" s="30">
        <v>13751.46</v>
      </c>
      <c r="F23" s="30">
        <v>506875.79</v>
      </c>
      <c r="G23" s="30"/>
      <c r="H23" s="30">
        <v>0</v>
      </c>
      <c r="I23" s="30">
        <f>+'[3]Konsernin rahoituslaskelma'!$E$290</f>
        <v>138062.96</v>
      </c>
      <c r="J23" s="29">
        <f t="shared" si="3"/>
        <v>658690.21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29">
        <f t="shared" si="4"/>
        <v>0</v>
      </c>
      <c r="S23" s="23" t="s">
        <v>43</v>
      </c>
    </row>
    <row r="24" spans="1:19" ht="17.25" customHeight="1" x14ac:dyDescent="0.3">
      <c r="A24" s="1" t="s">
        <v>0</v>
      </c>
      <c r="B24" s="79" t="s">
        <v>14</v>
      </c>
      <c r="C24" s="80"/>
      <c r="D24" s="80"/>
      <c r="E24" s="29">
        <f t="shared" ref="E24:G24" si="12">+E25+E26+E27</f>
        <v>2342236</v>
      </c>
      <c r="F24" s="29">
        <f t="shared" si="12"/>
        <v>-6636</v>
      </c>
      <c r="G24" s="29">
        <f t="shared" si="12"/>
        <v>2993364</v>
      </c>
      <c r="H24" s="29">
        <f>+H25+H26+H27</f>
        <v>-322424</v>
      </c>
      <c r="I24" s="29">
        <f>+I25+I26+I27</f>
        <v>-322424</v>
      </c>
      <c r="J24" s="29">
        <f t="shared" si="3"/>
        <v>4684116</v>
      </c>
      <c r="K24" s="29">
        <f>+K25+K26+K27</f>
        <v>-322424</v>
      </c>
      <c r="L24" s="29">
        <f t="shared" ref="L24:Q24" si="13">+L25+L26+L27</f>
        <v>634395.42095238087</v>
      </c>
      <c r="M24" s="29">
        <f t="shared" si="13"/>
        <v>586554.44990476174</v>
      </c>
      <c r="N24" s="29">
        <f t="shared" si="13"/>
        <v>538713.47885714273</v>
      </c>
      <c r="O24" s="29">
        <f t="shared" si="13"/>
        <v>490872.50780952367</v>
      </c>
      <c r="P24" s="29">
        <f t="shared" si="13"/>
        <v>443031.5367619046</v>
      </c>
      <c r="Q24" s="29">
        <f t="shared" si="13"/>
        <v>395190.56571428559</v>
      </c>
      <c r="R24" s="36">
        <f>SUM(K24:Q24)</f>
        <v>2766333.959999999</v>
      </c>
      <c r="S24" s="40">
        <f>+J24+R25+R26</f>
        <v>7450449.959999999</v>
      </c>
    </row>
    <row r="25" spans="1:19" ht="17.25" customHeight="1" x14ac:dyDescent="0.3">
      <c r="A25" s="1"/>
      <c r="B25" s="4"/>
      <c r="C25" s="78" t="s">
        <v>15</v>
      </c>
      <c r="D25" s="77"/>
      <c r="E25" s="51">
        <v>2342236</v>
      </c>
      <c r="F25" s="52">
        <v>0</v>
      </c>
      <c r="G25" s="53">
        <v>3000000</v>
      </c>
      <c r="H25" s="52"/>
      <c r="I25" s="29"/>
      <c r="J25" s="36">
        <f t="shared" si="3"/>
        <v>5342236</v>
      </c>
      <c r="K25" s="54"/>
      <c r="L25" s="36">
        <v>956819.42095238087</v>
      </c>
      <c r="M25" s="29">
        <f t="shared" ref="M25:Q25" si="14">+L25</f>
        <v>956819.42095238087</v>
      </c>
      <c r="N25" s="29">
        <f t="shared" si="14"/>
        <v>956819.42095238087</v>
      </c>
      <c r="O25" s="29">
        <f t="shared" si="14"/>
        <v>956819.42095238087</v>
      </c>
      <c r="P25" s="29">
        <f t="shared" si="14"/>
        <v>956819.42095238087</v>
      </c>
      <c r="Q25" s="29">
        <f t="shared" si="14"/>
        <v>956819.42095238087</v>
      </c>
      <c r="R25" s="29">
        <f t="shared" si="4"/>
        <v>5740916.5257142847</v>
      </c>
      <c r="S25" s="43">
        <f>+S24/S13</f>
        <v>-0.54457395775930306</v>
      </c>
    </row>
    <row r="26" spans="1:19" x14ac:dyDescent="0.3">
      <c r="A26" s="2" t="s">
        <v>0</v>
      </c>
      <c r="B26" s="2" t="s">
        <v>0</v>
      </c>
      <c r="C26" s="78" t="s">
        <v>16</v>
      </c>
      <c r="D26" s="77"/>
      <c r="E26" s="30">
        <v>0</v>
      </c>
      <c r="F26" s="55">
        <v>-6636</v>
      </c>
      <c r="G26" s="55">
        <v>-6636</v>
      </c>
      <c r="H26" s="56">
        <v>-322424</v>
      </c>
      <c r="I26" s="56">
        <f>+'[3]Konsernin rahoituslaskelma'!$E$295</f>
        <v>-322424</v>
      </c>
      <c r="J26" s="29">
        <f t="shared" si="3"/>
        <v>-658120</v>
      </c>
      <c r="K26" s="56">
        <f>+'[3]Konsernin rahoituslaskelma'!$E$295</f>
        <v>-322424</v>
      </c>
      <c r="L26" s="56">
        <f>+K26-K25/20</f>
        <v>-322424</v>
      </c>
      <c r="M26" s="56">
        <f t="shared" ref="M26:Q26" si="15">+L26-L25/20</f>
        <v>-370264.97104761907</v>
      </c>
      <c r="N26" s="56">
        <f t="shared" si="15"/>
        <v>-418105.94209523813</v>
      </c>
      <c r="O26" s="56">
        <f t="shared" si="15"/>
        <v>-465946.9131428572</v>
      </c>
      <c r="P26" s="56">
        <f t="shared" si="15"/>
        <v>-513787.88419047627</v>
      </c>
      <c r="Q26" s="56">
        <f t="shared" si="15"/>
        <v>-561628.85523809528</v>
      </c>
      <c r="R26" s="29">
        <f t="shared" si="4"/>
        <v>-2974582.5657142862</v>
      </c>
      <c r="S26" s="23" t="s">
        <v>51</v>
      </c>
    </row>
    <row r="27" spans="1:19" ht="15" customHeight="1" x14ac:dyDescent="0.3">
      <c r="A27" s="2"/>
      <c r="B27" s="2"/>
      <c r="C27" s="78" t="s">
        <v>17</v>
      </c>
      <c r="D27" s="77"/>
      <c r="E27" s="30">
        <v>0</v>
      </c>
      <c r="F27" s="30">
        <v>0</v>
      </c>
      <c r="G27" s="30"/>
      <c r="H27" s="30">
        <v>0</v>
      </c>
      <c r="I27" s="30"/>
      <c r="J27" s="29">
        <f t="shared" si="3"/>
        <v>0</v>
      </c>
      <c r="K27" s="30"/>
      <c r="L27" s="30"/>
      <c r="M27" s="30"/>
      <c r="N27" s="30"/>
      <c r="O27" s="30"/>
      <c r="P27" s="30"/>
      <c r="Q27" s="30"/>
      <c r="R27" s="29">
        <f t="shared" si="4"/>
        <v>0</v>
      </c>
    </row>
    <row r="28" spans="1:19" ht="15" customHeight="1" x14ac:dyDescent="0.3">
      <c r="A28" s="2"/>
      <c r="B28" s="79" t="s">
        <v>18</v>
      </c>
      <c r="C28" s="80"/>
      <c r="D28" s="80"/>
      <c r="E28" s="37"/>
      <c r="F28" s="37"/>
      <c r="G28" s="37"/>
      <c r="H28" s="37">
        <v>8299.2000000000007</v>
      </c>
      <c r="I28" s="37"/>
      <c r="J28" s="29">
        <f t="shared" si="3"/>
        <v>8299.2000000000007</v>
      </c>
      <c r="K28" s="37"/>
      <c r="L28" s="37"/>
      <c r="M28" s="37"/>
      <c r="N28" s="37"/>
      <c r="O28" s="37"/>
      <c r="P28" s="37"/>
      <c r="Q28" s="37"/>
      <c r="R28" s="29">
        <f t="shared" si="4"/>
        <v>0</v>
      </c>
    </row>
    <row r="29" spans="1:19" ht="15" customHeight="1" x14ac:dyDescent="0.3">
      <c r="A29" s="1" t="s">
        <v>0</v>
      </c>
      <c r="B29" s="79" t="s">
        <v>19</v>
      </c>
      <c r="C29" s="80"/>
      <c r="D29" s="80"/>
      <c r="E29" s="29">
        <f t="shared" ref="E29:G29" si="16">+E30+E31+E32+E33</f>
        <v>-5479.1000000000058</v>
      </c>
      <c r="F29" s="29">
        <f t="shared" si="16"/>
        <v>-265938.2300000001</v>
      </c>
      <c r="G29" s="29">
        <f t="shared" si="16"/>
        <v>-1487894.06</v>
      </c>
      <c r="H29" s="29">
        <f>+H30+H31+H32+H33</f>
        <v>-564367.28</v>
      </c>
      <c r="I29" s="29">
        <f>+I30+I31+I32+I33</f>
        <v>859609.8600000001</v>
      </c>
      <c r="J29" s="29">
        <f t="shared" si="3"/>
        <v>-1464068.8099999998</v>
      </c>
      <c r="K29" s="29">
        <f>+K30+K31+K32+K33</f>
        <v>0</v>
      </c>
      <c r="L29" s="29">
        <f t="shared" ref="L29:Q29" si="17">+L30+L31+L32+L33</f>
        <v>0</v>
      </c>
      <c r="M29" s="29">
        <f t="shared" si="17"/>
        <v>0</v>
      </c>
      <c r="N29" s="29">
        <f t="shared" si="17"/>
        <v>0</v>
      </c>
      <c r="O29" s="29">
        <f t="shared" si="17"/>
        <v>0</v>
      </c>
      <c r="P29" s="29">
        <f t="shared" si="17"/>
        <v>0</v>
      </c>
      <c r="Q29" s="29">
        <f t="shared" si="17"/>
        <v>0</v>
      </c>
      <c r="R29" s="29">
        <f t="shared" si="4"/>
        <v>0</v>
      </c>
    </row>
    <row r="30" spans="1:19" ht="15" customHeight="1" x14ac:dyDescent="0.3">
      <c r="A30" s="2" t="s">
        <v>0</v>
      </c>
      <c r="B30" s="2" t="s">
        <v>0</v>
      </c>
      <c r="C30" s="78" t="s">
        <v>20</v>
      </c>
      <c r="D30" s="77"/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29">
        <f t="shared" si="3"/>
        <v>0</v>
      </c>
      <c r="K30" s="30">
        <v>0</v>
      </c>
      <c r="L30" s="30">
        <f>+K30</f>
        <v>0</v>
      </c>
      <c r="M30" s="30">
        <f t="shared" ref="M30:Q30" si="18">+L30</f>
        <v>0</v>
      </c>
      <c r="N30" s="30">
        <f t="shared" si="18"/>
        <v>0</v>
      </c>
      <c r="O30" s="30">
        <f t="shared" si="18"/>
        <v>0</v>
      </c>
      <c r="P30" s="30">
        <f t="shared" si="18"/>
        <v>0</v>
      </c>
      <c r="Q30" s="30">
        <f t="shared" si="18"/>
        <v>0</v>
      </c>
      <c r="R30" s="29">
        <f t="shared" si="4"/>
        <v>0</v>
      </c>
    </row>
    <row r="31" spans="1:19" ht="16.5" customHeight="1" x14ac:dyDescent="0.3">
      <c r="A31" s="2" t="s">
        <v>0</v>
      </c>
      <c r="B31" s="2" t="s">
        <v>0</v>
      </c>
      <c r="C31" s="81" t="s">
        <v>21</v>
      </c>
      <c r="D31" s="82"/>
      <c r="E31" s="30">
        <v>0</v>
      </c>
      <c r="F31" s="30">
        <v>0</v>
      </c>
      <c r="G31" s="30">
        <v>-568972.54</v>
      </c>
      <c r="H31" s="30">
        <v>568972.54</v>
      </c>
      <c r="I31" s="35">
        <v>0</v>
      </c>
      <c r="J31" s="29">
        <f t="shared" si="3"/>
        <v>0</v>
      </c>
      <c r="K31" s="35">
        <v>0</v>
      </c>
      <c r="L31" s="30">
        <f t="shared" ref="L31:Q33" si="19">+K31</f>
        <v>0</v>
      </c>
      <c r="M31" s="30">
        <f t="shared" si="19"/>
        <v>0</v>
      </c>
      <c r="N31" s="30">
        <f t="shared" si="19"/>
        <v>0</v>
      </c>
      <c r="O31" s="30">
        <f t="shared" si="19"/>
        <v>0</v>
      </c>
      <c r="P31" s="30">
        <f t="shared" si="19"/>
        <v>0</v>
      </c>
      <c r="Q31" s="30">
        <f t="shared" si="19"/>
        <v>0</v>
      </c>
      <c r="R31" s="29">
        <f t="shared" si="4"/>
        <v>0</v>
      </c>
    </row>
    <row r="32" spans="1:19" ht="15" customHeight="1" x14ac:dyDescent="0.3">
      <c r="A32" s="2" t="s">
        <v>0</v>
      </c>
      <c r="B32" s="2" t="s">
        <v>0</v>
      </c>
      <c r="C32" s="78" t="s">
        <v>22</v>
      </c>
      <c r="D32" s="77"/>
      <c r="E32" s="30">
        <v>-218566.91</v>
      </c>
      <c r="F32" s="30">
        <v>-808314.17</v>
      </c>
      <c r="G32" s="30">
        <v>-261921.47</v>
      </c>
      <c r="H32" s="30">
        <v>474849.44</v>
      </c>
      <c r="I32" s="30">
        <f>+'[3]Konsernin rahoituslaskelma'!$E$305</f>
        <v>214262.06</v>
      </c>
      <c r="J32" s="29">
        <f t="shared" si="3"/>
        <v>-599691.05000000005</v>
      </c>
      <c r="K32" s="30">
        <v>0</v>
      </c>
      <c r="L32" s="30">
        <f t="shared" si="19"/>
        <v>0</v>
      </c>
      <c r="M32" s="30">
        <f t="shared" si="19"/>
        <v>0</v>
      </c>
      <c r="N32" s="30">
        <f t="shared" si="19"/>
        <v>0</v>
      </c>
      <c r="O32" s="30">
        <f t="shared" si="19"/>
        <v>0</v>
      </c>
      <c r="P32" s="30">
        <f t="shared" si="19"/>
        <v>0</v>
      </c>
      <c r="Q32" s="30">
        <f t="shared" si="19"/>
        <v>0</v>
      </c>
      <c r="R32" s="29">
        <f t="shared" si="4"/>
        <v>0</v>
      </c>
    </row>
    <row r="33" spans="1:19" x14ac:dyDescent="0.3">
      <c r="A33" s="2" t="s">
        <v>0</v>
      </c>
      <c r="B33" s="2" t="s">
        <v>0</v>
      </c>
      <c r="C33" s="78" t="s">
        <v>23</v>
      </c>
      <c r="D33" s="77"/>
      <c r="E33" s="30">
        <v>213087.81</v>
      </c>
      <c r="F33" s="30">
        <v>542375.93999999994</v>
      </c>
      <c r="G33" s="30">
        <v>-657000.05000000005</v>
      </c>
      <c r="H33" s="30">
        <v>-1608189.26</v>
      </c>
      <c r="I33" s="30">
        <f>+'[3]Konsernin rahoituslaskelma'!$E$336</f>
        <v>645347.80000000005</v>
      </c>
      <c r="J33" s="29">
        <f t="shared" si="3"/>
        <v>-864377.76</v>
      </c>
      <c r="K33" s="30">
        <v>0</v>
      </c>
      <c r="L33" s="30">
        <f t="shared" si="19"/>
        <v>0</v>
      </c>
      <c r="M33" s="30">
        <f t="shared" si="19"/>
        <v>0</v>
      </c>
      <c r="N33" s="30">
        <f t="shared" si="19"/>
        <v>0</v>
      </c>
      <c r="O33" s="30">
        <f t="shared" si="19"/>
        <v>0</v>
      </c>
      <c r="P33" s="30">
        <f t="shared" si="19"/>
        <v>0</v>
      </c>
      <c r="Q33" s="30">
        <f t="shared" si="19"/>
        <v>0</v>
      </c>
      <c r="R33" s="29">
        <f t="shared" si="4"/>
        <v>0</v>
      </c>
    </row>
    <row r="34" spans="1:19" ht="15" customHeight="1" x14ac:dyDescent="0.3">
      <c r="A34" s="3" t="s">
        <v>0</v>
      </c>
      <c r="B34" s="3" t="s">
        <v>0</v>
      </c>
      <c r="C34" s="76" t="s">
        <v>0</v>
      </c>
      <c r="D34" s="77"/>
      <c r="E34" s="37" t="s">
        <v>0</v>
      </c>
      <c r="F34" s="37" t="s">
        <v>0</v>
      </c>
      <c r="G34" s="37" t="s">
        <v>0</v>
      </c>
      <c r="H34" s="37" t="s">
        <v>0</v>
      </c>
      <c r="I34" s="37" t="s">
        <v>0</v>
      </c>
      <c r="J34" s="29">
        <f t="shared" si="3"/>
        <v>0</v>
      </c>
      <c r="K34" s="37" t="s">
        <v>0</v>
      </c>
      <c r="L34" s="37" t="s">
        <v>0</v>
      </c>
      <c r="M34" s="37" t="s">
        <v>0</v>
      </c>
      <c r="N34" s="37" t="s">
        <v>0</v>
      </c>
      <c r="O34" s="37" t="s">
        <v>0</v>
      </c>
      <c r="P34" s="37" t="s">
        <v>0</v>
      </c>
      <c r="Q34" s="37" t="s">
        <v>0</v>
      </c>
      <c r="R34" s="29">
        <f t="shared" si="4"/>
        <v>0</v>
      </c>
    </row>
    <row r="35" spans="1:19" ht="15" customHeight="1" x14ac:dyDescent="0.3">
      <c r="A35" s="76" t="s">
        <v>10</v>
      </c>
      <c r="B35" s="77"/>
      <c r="C35" s="77"/>
      <c r="D35" s="77"/>
      <c r="E35" s="38">
        <f t="shared" ref="E35:G35" si="20">+E21+E24+E29+E28</f>
        <v>1813398.3599999999</v>
      </c>
      <c r="F35" s="38">
        <f t="shared" si="20"/>
        <v>206231.31999999989</v>
      </c>
      <c r="G35" s="38">
        <f t="shared" si="20"/>
        <v>1362406.98</v>
      </c>
      <c r="H35" s="38">
        <f>+H21+H24+H29+H28</f>
        <v>-878492.08000000007</v>
      </c>
      <c r="I35" s="38">
        <f>+I21+I24+I29+I28</f>
        <v>675248.82000000007</v>
      </c>
      <c r="J35" s="36">
        <f t="shared" si="3"/>
        <v>3178793.3999999994</v>
      </c>
      <c r="K35" s="38">
        <f>+K21+K24+K29+K28</f>
        <v>-322424</v>
      </c>
      <c r="L35" s="38">
        <f t="shared" ref="L35:Q35" si="21">+L21+L24+L29+L28</f>
        <v>634395.42095238087</v>
      </c>
      <c r="M35" s="38">
        <f t="shared" si="21"/>
        <v>586554.44990476174</v>
      </c>
      <c r="N35" s="38">
        <f t="shared" si="21"/>
        <v>538713.47885714273</v>
      </c>
      <c r="O35" s="38">
        <f t="shared" si="21"/>
        <v>490872.50780952367</v>
      </c>
      <c r="P35" s="38">
        <f t="shared" si="21"/>
        <v>443031.5367619046</v>
      </c>
      <c r="Q35" s="38">
        <f t="shared" si="21"/>
        <v>395190.56571428559</v>
      </c>
      <c r="R35" s="29">
        <f t="shared" si="4"/>
        <v>2766333.959999999</v>
      </c>
    </row>
    <row r="36" spans="1:19" ht="25.5" customHeight="1" x14ac:dyDescent="0.3">
      <c r="A36" s="3" t="s">
        <v>0</v>
      </c>
      <c r="B36" s="3" t="s">
        <v>0</v>
      </c>
      <c r="C36" s="76" t="s">
        <v>0</v>
      </c>
      <c r="D36" s="77"/>
      <c r="E36" s="37" t="s">
        <v>0</v>
      </c>
      <c r="F36" s="37" t="s">
        <v>0</v>
      </c>
      <c r="G36" s="37" t="s">
        <v>0</v>
      </c>
      <c r="H36" s="37" t="s">
        <v>0</v>
      </c>
      <c r="I36" s="37" t="s">
        <v>0</v>
      </c>
      <c r="J36" s="29">
        <f t="shared" si="3"/>
        <v>0</v>
      </c>
      <c r="K36" s="37" t="s">
        <v>0</v>
      </c>
      <c r="L36" s="37" t="s">
        <v>0</v>
      </c>
      <c r="M36" s="37" t="s">
        <v>0</v>
      </c>
      <c r="N36" s="37" t="s">
        <v>0</v>
      </c>
      <c r="O36" s="37" t="s">
        <v>0</v>
      </c>
      <c r="P36" s="37" t="s">
        <v>0</v>
      </c>
      <c r="Q36" s="37" t="s">
        <v>0</v>
      </c>
      <c r="R36" s="29">
        <f t="shared" si="4"/>
        <v>0</v>
      </c>
    </row>
    <row r="37" spans="1:19" ht="25.5" customHeight="1" x14ac:dyDescent="0.3">
      <c r="A37" s="76" t="s">
        <v>24</v>
      </c>
      <c r="B37" s="77"/>
      <c r="C37" s="77"/>
      <c r="D37" s="77"/>
      <c r="E37" s="38">
        <f>+E35+E18</f>
        <v>-360550.25</v>
      </c>
      <c r="F37" s="38">
        <f>+F35+F18</f>
        <v>-3786599.37</v>
      </c>
      <c r="G37" s="38">
        <f>+G35+G18</f>
        <v>-1005836.9300000002</v>
      </c>
      <c r="H37" s="38">
        <f>+H35+H18</f>
        <v>-153073.55000000005</v>
      </c>
      <c r="I37" s="38">
        <f>+I35+I18</f>
        <v>1029791.1400000001</v>
      </c>
      <c r="J37" s="29">
        <f t="shared" si="3"/>
        <v>-4276268.9600000009</v>
      </c>
      <c r="K37" s="38">
        <f>+K35+K18</f>
        <v>-822424</v>
      </c>
      <c r="L37" s="38">
        <f t="shared" ref="L37:Q37" si="22">+L35+L18</f>
        <v>188205.42095238087</v>
      </c>
      <c r="M37" s="38">
        <f t="shared" si="22"/>
        <v>270575.44990476174</v>
      </c>
      <c r="N37" s="38">
        <f t="shared" si="22"/>
        <v>-41718.521142857266</v>
      </c>
      <c r="O37" s="38">
        <f t="shared" si="22"/>
        <v>-256188.49219047633</v>
      </c>
      <c r="P37" s="38">
        <f t="shared" si="22"/>
        <v>-723618.4632380954</v>
      </c>
      <c r="Q37" s="38">
        <f t="shared" si="22"/>
        <v>-520402.43428571441</v>
      </c>
      <c r="R37" s="29">
        <f t="shared" si="4"/>
        <v>-1905571.040000001</v>
      </c>
      <c r="S37" s="33"/>
    </row>
    <row r="38" spans="1:19" ht="0" hidden="1" customHeight="1" x14ac:dyDescent="0.3">
      <c r="A38" s="45"/>
      <c r="B38" s="45"/>
      <c r="C38" s="45"/>
      <c r="D38" s="45"/>
      <c r="E38" s="46"/>
      <c r="F38" s="46"/>
      <c r="G38" s="46"/>
      <c r="H38" s="46"/>
      <c r="I38" s="46"/>
      <c r="J38" s="29">
        <f t="shared" si="3"/>
        <v>0</v>
      </c>
      <c r="K38" s="46"/>
      <c r="L38" s="46"/>
      <c r="M38" s="46"/>
      <c r="N38" s="46"/>
      <c r="O38" s="46"/>
      <c r="P38" s="46"/>
      <c r="Q38" s="46"/>
      <c r="R38" s="46"/>
    </row>
    <row r="39" spans="1:19" ht="14.1" customHeight="1" x14ac:dyDescent="0.3">
      <c r="A39" s="45"/>
      <c r="B39" s="45"/>
      <c r="C39" s="45"/>
      <c r="D39" s="45"/>
      <c r="E39" s="46"/>
      <c r="F39" s="46"/>
      <c r="G39" s="46"/>
      <c r="H39" s="46"/>
      <c r="I39" s="46"/>
      <c r="J39" s="29">
        <f t="shared" si="3"/>
        <v>0</v>
      </c>
      <c r="K39" s="46"/>
      <c r="L39" s="46"/>
      <c r="M39" s="46"/>
      <c r="N39" s="46"/>
      <c r="O39" s="46"/>
      <c r="P39" s="46"/>
      <c r="Q39" s="46"/>
      <c r="R39" s="46"/>
    </row>
    <row r="40" spans="1:19" x14ac:dyDescent="0.3">
      <c r="A40" s="47"/>
      <c r="B40" s="47"/>
      <c r="C40" s="47" t="s">
        <v>25</v>
      </c>
      <c r="D40" s="47"/>
      <c r="E40" s="37" t="s">
        <v>0</v>
      </c>
      <c r="F40" s="37" t="s">
        <v>0</v>
      </c>
      <c r="G40" s="37" t="s">
        <v>0</v>
      </c>
      <c r="H40" s="37" t="s">
        <v>0</v>
      </c>
      <c r="I40" s="37" t="s">
        <v>0</v>
      </c>
      <c r="J40" s="29">
        <f t="shared" si="3"/>
        <v>0</v>
      </c>
      <c r="K40" s="37" t="s">
        <v>0</v>
      </c>
      <c r="L40" s="37" t="s">
        <v>0</v>
      </c>
      <c r="M40" s="37" t="s">
        <v>0</v>
      </c>
      <c r="N40" s="37" t="s">
        <v>0</v>
      </c>
      <c r="O40" s="37" t="s">
        <v>0</v>
      </c>
      <c r="P40" s="37" t="s">
        <v>0</v>
      </c>
      <c r="Q40" s="37" t="s">
        <v>0</v>
      </c>
      <c r="R40" s="37" t="s">
        <v>0</v>
      </c>
      <c r="S40" s="23" t="s">
        <v>45</v>
      </c>
    </row>
    <row r="41" spans="1:19" ht="14.4" customHeight="1" x14ac:dyDescent="0.3">
      <c r="A41" s="3"/>
      <c r="B41" s="47"/>
      <c r="C41" s="47" t="s">
        <v>26</v>
      </c>
      <c r="D41" s="3"/>
      <c r="E41" s="30">
        <v>6307924.75</v>
      </c>
      <c r="F41" s="30">
        <v>2521325.38</v>
      </c>
      <c r="G41" s="30">
        <v>1515488.45</v>
      </c>
      <c r="H41" s="30">
        <v>1362414.9</v>
      </c>
      <c r="I41" s="30">
        <f>+'[3]Konsernin rahoituslaskelma'!$E$393</f>
        <v>2392206.04</v>
      </c>
      <c r="J41" s="29"/>
      <c r="K41" s="30">
        <f>+K42+K44</f>
        <v>1569782.04</v>
      </c>
      <c r="L41" s="30">
        <f>+L37+L42</f>
        <v>1757987.4609523809</v>
      </c>
      <c r="M41" s="30">
        <f t="shared" ref="M41:Q41" si="23">+M37+M42</f>
        <v>2028562.9108571426</v>
      </c>
      <c r="N41" s="30">
        <f t="shared" si="23"/>
        <v>1986844.3897142853</v>
      </c>
      <c r="O41" s="30">
        <f t="shared" si="23"/>
        <v>1730655.897523809</v>
      </c>
      <c r="P41" s="30">
        <f t="shared" si="23"/>
        <v>1007037.4342857136</v>
      </c>
      <c r="Q41" s="30">
        <f t="shared" si="23"/>
        <v>486634.99999999919</v>
      </c>
      <c r="R41" s="30"/>
      <c r="S41" s="33">
        <f>+Q41/Q54</f>
        <v>260.23262032085518</v>
      </c>
    </row>
    <row r="42" spans="1:19" x14ac:dyDescent="0.3">
      <c r="A42" s="47"/>
      <c r="B42" s="47"/>
      <c r="C42" s="47" t="s">
        <v>27</v>
      </c>
      <c r="D42" s="3"/>
      <c r="E42" s="30">
        <v>6668475</v>
      </c>
      <c r="F42" s="30">
        <v>6307924.75</v>
      </c>
      <c r="G42" s="30">
        <v>2521352.38</v>
      </c>
      <c r="H42" s="30">
        <v>1515488.45</v>
      </c>
      <c r="I42" s="30">
        <f>+'[3]Konsernin rahoituslaskelma'!$E$394</f>
        <v>1362414.9</v>
      </c>
      <c r="J42" s="29"/>
      <c r="K42" s="30">
        <f>+I41</f>
        <v>2392206.04</v>
      </c>
      <c r="L42" s="30">
        <f>+K41</f>
        <v>1569782.04</v>
      </c>
      <c r="M42" s="30">
        <f t="shared" ref="M42:Q42" si="24">+L41</f>
        <v>1757987.4609523809</v>
      </c>
      <c r="N42" s="30">
        <f t="shared" si="24"/>
        <v>2028562.9108571426</v>
      </c>
      <c r="O42" s="30">
        <f t="shared" si="24"/>
        <v>1986844.3897142853</v>
      </c>
      <c r="P42" s="30">
        <f t="shared" si="24"/>
        <v>1730655.897523809</v>
      </c>
      <c r="Q42" s="30">
        <f t="shared" si="24"/>
        <v>1007037.4342857136</v>
      </c>
      <c r="R42" s="30"/>
    </row>
    <row r="43" spans="1:19" ht="0" hidden="1" customHeight="1" x14ac:dyDescent="0.3">
      <c r="A43" s="45"/>
      <c r="B43" s="45"/>
      <c r="C43" s="45"/>
      <c r="D43" s="45"/>
      <c r="E43" s="46"/>
      <c r="F43" s="46"/>
      <c r="G43" s="46"/>
      <c r="H43" s="46"/>
      <c r="I43" s="46"/>
      <c r="J43" s="29">
        <f t="shared" si="3"/>
        <v>0</v>
      </c>
      <c r="K43" s="46"/>
      <c r="L43" s="46"/>
      <c r="M43" s="46"/>
      <c r="N43" s="46"/>
      <c r="O43" s="46"/>
      <c r="P43" s="46"/>
      <c r="Q43" s="46"/>
      <c r="R43" s="46"/>
    </row>
    <row r="44" spans="1:19" ht="13.2" customHeight="1" x14ac:dyDescent="0.3">
      <c r="A44" s="45"/>
      <c r="B44" s="45"/>
      <c r="C44" s="49" t="s">
        <v>25</v>
      </c>
      <c r="D44" s="45"/>
      <c r="E44" s="38">
        <f t="shared" ref="E44:G44" si="25">+E41-E42</f>
        <v>-360550.25</v>
      </c>
      <c r="F44" s="38">
        <f t="shared" si="25"/>
        <v>-3786599.37</v>
      </c>
      <c r="G44" s="38">
        <f t="shared" si="25"/>
        <v>-1005863.9299999999</v>
      </c>
      <c r="H44" s="38">
        <f>+H41-H42</f>
        <v>-153073.55000000005</v>
      </c>
      <c r="I44" s="38">
        <f>+I41-I42</f>
        <v>1029791.1400000001</v>
      </c>
      <c r="J44" s="36">
        <f t="shared" si="3"/>
        <v>-4276295.959999999</v>
      </c>
      <c r="K44" s="38">
        <f>+K37</f>
        <v>-822424</v>
      </c>
      <c r="L44" s="38">
        <f t="shared" ref="L44:Q44" si="26">+L41-L42</f>
        <v>188205.42095238087</v>
      </c>
      <c r="M44" s="38">
        <f t="shared" si="26"/>
        <v>270575.44990476174</v>
      </c>
      <c r="N44" s="38">
        <f t="shared" si="26"/>
        <v>-41718.521142857382</v>
      </c>
      <c r="O44" s="38">
        <f t="shared" si="26"/>
        <v>-256188.49219047627</v>
      </c>
      <c r="P44" s="38">
        <f t="shared" si="26"/>
        <v>-723618.4632380954</v>
      </c>
      <c r="Q44" s="38">
        <f t="shared" si="26"/>
        <v>-520402.43428571441</v>
      </c>
      <c r="R44" s="38">
        <f>SUM(K44:Q44)</f>
        <v>-1905571.040000001</v>
      </c>
    </row>
    <row r="45" spans="1:19" ht="0" hidden="1" customHeight="1" x14ac:dyDescent="0.3"/>
    <row r="46" spans="1:19" ht="7.2" customHeight="1" x14ac:dyDescent="0.3"/>
    <row r="47" spans="1:19" x14ac:dyDescent="0.3">
      <c r="H47" s="50"/>
      <c r="K47" s="26"/>
    </row>
    <row r="48" spans="1:19" x14ac:dyDescent="0.3">
      <c r="C48" s="23" t="s">
        <v>28</v>
      </c>
      <c r="E48" s="26">
        <f>+E14</f>
        <v>-4185946.3</v>
      </c>
      <c r="F48" s="26">
        <f>+E48+F14</f>
        <v>-9035338.4600000009</v>
      </c>
      <c r="G48" s="26">
        <f t="shared" ref="G48:I49" si="27">+F48+G14</f>
        <v>-11725760.9</v>
      </c>
      <c r="H48" s="26">
        <f t="shared" si="27"/>
        <v>-13494836.08</v>
      </c>
      <c r="I48" s="26">
        <f t="shared" si="27"/>
        <v>-14019284.41</v>
      </c>
      <c r="J48" s="26"/>
      <c r="K48" s="26">
        <f>+I48+K14</f>
        <v>-14519284.41</v>
      </c>
      <c r="L48" s="26">
        <f>+K48+L14</f>
        <v>-15019284.41</v>
      </c>
      <c r="M48" s="26">
        <f t="shared" ref="M48:Q48" si="28">+L48+M14</f>
        <v>-15519284.41</v>
      </c>
      <c r="N48" s="26">
        <f t="shared" si="28"/>
        <v>-16019284.41</v>
      </c>
      <c r="O48" s="26">
        <f t="shared" si="28"/>
        <v>-16519284.41</v>
      </c>
      <c r="P48" s="26">
        <f t="shared" si="28"/>
        <v>-17019284.41</v>
      </c>
      <c r="Q48" s="26">
        <f t="shared" si="28"/>
        <v>-17519284.41</v>
      </c>
      <c r="R48" s="26"/>
    </row>
    <row r="49" spans="3:18" x14ac:dyDescent="0.3">
      <c r="C49" s="23" t="s">
        <v>29</v>
      </c>
      <c r="E49" s="26">
        <f>+E15</f>
        <v>1611917.76</v>
      </c>
      <c r="F49" s="26">
        <f>+E49+F15</f>
        <v>2918720.3600000003</v>
      </c>
      <c r="G49" s="26">
        <f t="shared" si="27"/>
        <v>2918720.3600000003</v>
      </c>
      <c r="H49" s="26">
        <f t="shared" si="27"/>
        <v>2921970.3600000003</v>
      </c>
      <c r="I49" s="26">
        <f t="shared" si="27"/>
        <v>2956426.8000000003</v>
      </c>
      <c r="J49" s="26"/>
      <c r="K49" s="26">
        <f t="shared" ref="K49:K50" si="29">+I49+K15</f>
        <v>2956426.8000000003</v>
      </c>
      <c r="L49" s="26">
        <f t="shared" ref="L49:Q50" si="30">+K49+L15</f>
        <v>2956426.8000000003</v>
      </c>
      <c r="M49" s="26">
        <f t="shared" si="30"/>
        <v>2956426.8000000003</v>
      </c>
      <c r="N49" s="26">
        <f t="shared" si="30"/>
        <v>2956426.8000000003</v>
      </c>
      <c r="O49" s="26">
        <f t="shared" si="30"/>
        <v>2956426.8000000003</v>
      </c>
      <c r="P49" s="26">
        <f t="shared" si="30"/>
        <v>2956426.8000000003</v>
      </c>
      <c r="Q49" s="26">
        <f t="shared" si="30"/>
        <v>2956426.8000000003</v>
      </c>
      <c r="R49" s="26"/>
    </row>
    <row r="50" spans="3:18" x14ac:dyDescent="0.3">
      <c r="C50" s="23" t="s">
        <v>30</v>
      </c>
      <c r="E50" s="26">
        <f>+E48+E49</f>
        <v>-2574028.54</v>
      </c>
      <c r="F50" s="26">
        <f t="shared" ref="F50:I50" si="31">+F48+F49</f>
        <v>-6116618.1000000006</v>
      </c>
      <c r="G50" s="26">
        <f t="shared" si="31"/>
        <v>-8807040.5399999991</v>
      </c>
      <c r="H50" s="26">
        <f t="shared" si="31"/>
        <v>-10572865.719999999</v>
      </c>
      <c r="I50" s="26">
        <f t="shared" si="31"/>
        <v>-11062857.609999999</v>
      </c>
      <c r="J50" s="26"/>
      <c r="K50" s="26">
        <f t="shared" si="29"/>
        <v>-11062857.609999999</v>
      </c>
      <c r="L50" s="26">
        <f t="shared" si="30"/>
        <v>-11062857.609999999</v>
      </c>
      <c r="M50" s="26">
        <f t="shared" si="30"/>
        <v>-11062857.609999999</v>
      </c>
      <c r="N50" s="26">
        <f t="shared" si="30"/>
        <v>-11062857.609999999</v>
      </c>
      <c r="O50" s="26">
        <f t="shared" si="30"/>
        <v>-11062857.609999999</v>
      </c>
      <c r="P50" s="26">
        <f t="shared" si="30"/>
        <v>-11062857.609999999</v>
      </c>
      <c r="Q50" s="26">
        <f t="shared" si="30"/>
        <v>-11062857.609999999</v>
      </c>
      <c r="R50" s="26"/>
    </row>
    <row r="51" spans="3:18" x14ac:dyDescent="0.3">
      <c r="C51" s="23" t="s">
        <v>31</v>
      </c>
      <c r="E51" s="26">
        <f>+E25</f>
        <v>2342236</v>
      </c>
      <c r="F51" s="26">
        <f>+E51+F25</f>
        <v>2342236</v>
      </c>
      <c r="G51" s="26">
        <f>+F51+G25</f>
        <v>5342236</v>
      </c>
      <c r="H51" s="26">
        <f>+G51+H25</f>
        <v>5342236</v>
      </c>
      <c r="I51" s="26">
        <f>+H51+I25</f>
        <v>5342236</v>
      </c>
      <c r="K51" s="26">
        <f>+I51+K25</f>
        <v>5342236</v>
      </c>
      <c r="L51" s="26">
        <f>+K51+L25</f>
        <v>6299055.4209523806</v>
      </c>
      <c r="M51" s="26">
        <f t="shared" ref="M51:Q51" si="32">+L51+M25</f>
        <v>7255874.8419047613</v>
      </c>
      <c r="N51" s="26">
        <f t="shared" si="32"/>
        <v>8212694.2628571419</v>
      </c>
      <c r="O51" s="26">
        <f t="shared" si="32"/>
        <v>9169513.6838095225</v>
      </c>
      <c r="P51" s="26">
        <f t="shared" si="32"/>
        <v>10126333.104761904</v>
      </c>
      <c r="Q51" s="26">
        <f t="shared" si="32"/>
        <v>11083152.525714286</v>
      </c>
      <c r="R51" s="26"/>
    </row>
    <row r="52" spans="3:18" x14ac:dyDescent="0.3">
      <c r="C52" s="23" t="s">
        <v>32</v>
      </c>
      <c r="E52" s="26">
        <f>+E25+E26+E27</f>
        <v>2342236</v>
      </c>
      <c r="F52" s="26">
        <f>+E52+F25+F26+F27</f>
        <v>2335600</v>
      </c>
      <c r="G52" s="26">
        <f t="shared" ref="G52:I52" si="33">+F52+G25+G26+G27</f>
        <v>5328964</v>
      </c>
      <c r="H52" s="26">
        <f t="shared" si="33"/>
        <v>5006540</v>
      </c>
      <c r="I52" s="26">
        <f t="shared" si="33"/>
        <v>4684116</v>
      </c>
      <c r="K52" s="26">
        <f>+I52+K25+K26+K27</f>
        <v>4361692</v>
      </c>
      <c r="L52" s="26">
        <f>+K52+L25+L26+L27</f>
        <v>4996087.4209523806</v>
      </c>
      <c r="M52" s="26">
        <f t="shared" ref="M52:Q52" si="34">+L52+M25+M26+M27</f>
        <v>5582641.8708571419</v>
      </c>
      <c r="N52" s="26">
        <f t="shared" si="34"/>
        <v>6121355.3497142848</v>
      </c>
      <c r="O52" s="26">
        <f t="shared" si="34"/>
        <v>6612227.8575238083</v>
      </c>
      <c r="P52" s="26">
        <f t="shared" si="34"/>
        <v>7055259.3942857124</v>
      </c>
      <c r="Q52" s="26">
        <f t="shared" si="34"/>
        <v>7450449.9599999981</v>
      </c>
      <c r="R52" s="26"/>
    </row>
    <row r="53" spans="3:18" x14ac:dyDescent="0.3">
      <c r="C53" s="23" t="s">
        <v>33</v>
      </c>
      <c r="E53" s="26">
        <f>-E44</f>
        <v>360550.25</v>
      </c>
      <c r="F53" s="26">
        <f>+E53-F44</f>
        <v>4147149.62</v>
      </c>
      <c r="G53" s="26">
        <f>+F53-G44</f>
        <v>5153013.55</v>
      </c>
      <c r="H53" s="26">
        <f>+G53-H44</f>
        <v>5306087.0999999996</v>
      </c>
      <c r="I53" s="26">
        <f>+H53-I44</f>
        <v>4276295.959999999</v>
      </c>
      <c r="K53" s="26">
        <f>+I53-K44</f>
        <v>5098719.959999999</v>
      </c>
      <c r="L53" s="26">
        <f>+K53-L44</f>
        <v>4910514.5390476184</v>
      </c>
      <c r="M53" s="26">
        <f t="shared" ref="M53:Q53" si="35">+L53-M44</f>
        <v>4639939.0891428571</v>
      </c>
      <c r="N53" s="26">
        <f t="shared" si="35"/>
        <v>4681657.6102857143</v>
      </c>
      <c r="O53" s="26">
        <f t="shared" si="35"/>
        <v>4937846.1024761908</v>
      </c>
      <c r="P53" s="26">
        <f t="shared" si="35"/>
        <v>5661464.5657142866</v>
      </c>
      <c r="Q53" s="26">
        <f t="shared" si="35"/>
        <v>6181867.0000000009</v>
      </c>
      <c r="R53" s="26"/>
    </row>
    <row r="54" spans="3:18" x14ac:dyDescent="0.3">
      <c r="C54" s="23" t="s">
        <v>34</v>
      </c>
      <c r="E54" s="26">
        <v>2362</v>
      </c>
      <c r="F54" s="26">
        <v>2324</v>
      </c>
      <c r="G54" s="26">
        <v>2245</v>
      </c>
      <c r="H54" s="26">
        <v>2219</v>
      </c>
      <c r="I54" s="26">
        <v>2150</v>
      </c>
      <c r="K54" s="26">
        <v>2110</v>
      </c>
      <c r="L54" s="26">
        <f>+K54-40</f>
        <v>2070</v>
      </c>
      <c r="M54" s="26">
        <f t="shared" ref="M54:Q54" si="36">+L54-40</f>
        <v>2030</v>
      </c>
      <c r="N54" s="26">
        <f t="shared" si="36"/>
        <v>1990</v>
      </c>
      <c r="O54" s="26">
        <f t="shared" si="36"/>
        <v>1950</v>
      </c>
      <c r="P54" s="26">
        <f t="shared" si="36"/>
        <v>1910</v>
      </c>
      <c r="Q54" s="26">
        <f t="shared" si="36"/>
        <v>1870</v>
      </c>
      <c r="R54" s="26"/>
    </row>
    <row r="55" spans="3:18" x14ac:dyDescent="0.3">
      <c r="C55" s="23" t="s">
        <v>35</v>
      </c>
      <c r="E55" s="26">
        <f>-E48/E54</f>
        <v>1772.2041913632513</v>
      </c>
      <c r="F55" s="26">
        <f>-F48/F54</f>
        <v>3887.8392685025819</v>
      </c>
      <c r="G55" s="26">
        <f>-G48/G54</f>
        <v>5223.0560801781739</v>
      </c>
      <c r="H55" s="26">
        <f>-H48/H54</f>
        <v>6081.4944028841819</v>
      </c>
      <c r="I55" s="26">
        <f>-I48/I54</f>
        <v>6520.5973999999997</v>
      </c>
      <c r="J55" s="26"/>
      <c r="K55" s="26">
        <f>-K48/K54</f>
        <v>6881.1774454976303</v>
      </c>
      <c r="L55" s="26">
        <f t="shared" ref="L55:L57" si="37">+K55-40</f>
        <v>6841.1774454976303</v>
      </c>
      <c r="M55" s="26">
        <f t="shared" ref="M55:Q55" si="38">-M48/M54</f>
        <v>7644.9676896551728</v>
      </c>
      <c r="N55" s="26">
        <f t="shared" si="38"/>
        <v>8049.8916633165827</v>
      </c>
      <c r="O55" s="26">
        <f t="shared" si="38"/>
        <v>8471.4279025641026</v>
      </c>
      <c r="P55" s="26">
        <f t="shared" si="38"/>
        <v>8910.6201099476439</v>
      </c>
      <c r="Q55" s="26">
        <f t="shared" si="38"/>
        <v>9368.6012887700545</v>
      </c>
      <c r="R55" s="26"/>
    </row>
    <row r="56" spans="3:18" x14ac:dyDescent="0.3">
      <c r="C56" s="23" t="s">
        <v>36</v>
      </c>
      <c r="E56" s="26">
        <f>+E41/E54</f>
        <v>2670.5862616426757</v>
      </c>
      <c r="F56" s="26">
        <f>+F41/F54</f>
        <v>1084.9076506024096</v>
      </c>
      <c r="G56" s="26">
        <f>+G41/G54</f>
        <v>675.05053452115806</v>
      </c>
      <c r="H56" s="26">
        <f>+H41/H54</f>
        <v>613.97697160883274</v>
      </c>
      <c r="I56" s="26">
        <f>+I41/I54</f>
        <v>1112.6539720930232</v>
      </c>
      <c r="J56" s="26"/>
      <c r="K56" s="26">
        <f>+K41/K54</f>
        <v>743.97253080568726</v>
      </c>
      <c r="L56" s="26">
        <f t="shared" si="37"/>
        <v>703.97253080568726</v>
      </c>
      <c r="M56" s="26">
        <f t="shared" ref="M56:Q56" si="39">+M41/M54</f>
        <v>999.2920743138634</v>
      </c>
      <c r="N56" s="26">
        <f t="shared" si="39"/>
        <v>998.41426618808305</v>
      </c>
      <c r="O56" s="26">
        <f t="shared" si="39"/>
        <v>887.51584488400465</v>
      </c>
      <c r="P56" s="26">
        <f>+P41/P54</f>
        <v>527.24472999252021</v>
      </c>
      <c r="Q56" s="26">
        <f t="shared" si="39"/>
        <v>260.23262032085518</v>
      </c>
      <c r="R56" s="26"/>
    </row>
    <row r="57" spans="3:18" x14ac:dyDescent="0.3">
      <c r="C57" s="23" t="s">
        <v>37</v>
      </c>
      <c r="E57" s="26">
        <f>-E52/E54</f>
        <v>-991.63251481795089</v>
      </c>
      <c r="F57" s="26">
        <f t="shared" ref="F57:I57" si="40">-F52/F54</f>
        <v>-1004.9913941480206</v>
      </c>
      <c r="G57" s="26">
        <f t="shared" si="40"/>
        <v>-2373.7033407572385</v>
      </c>
      <c r="H57" s="26">
        <f t="shared" si="40"/>
        <v>-2256.2145110410092</v>
      </c>
      <c r="I57" s="26">
        <f t="shared" si="40"/>
        <v>-2178.6586046511629</v>
      </c>
      <c r="J57" s="26"/>
      <c r="K57" s="26">
        <f t="shared" ref="K57:P57" si="41">-K52/K54</f>
        <v>-2067.1526066350712</v>
      </c>
      <c r="L57" s="26">
        <f t="shared" si="37"/>
        <v>-2107.1526066350712</v>
      </c>
      <c r="M57" s="26">
        <f t="shared" si="41"/>
        <v>-2750.0698871217446</v>
      </c>
      <c r="N57" s="26">
        <f t="shared" si="41"/>
        <v>-3076.057964680545</v>
      </c>
      <c r="O57" s="26">
        <f t="shared" si="41"/>
        <v>-3390.8860807814403</v>
      </c>
      <c r="P57" s="26">
        <f t="shared" si="41"/>
        <v>-3693.853086013462</v>
      </c>
      <c r="Q57" s="26">
        <f>-Q52/Q54</f>
        <v>-3984.1978395721917</v>
      </c>
      <c r="R57" s="26"/>
    </row>
    <row r="60" spans="3:18" x14ac:dyDescent="0.3">
      <c r="C60" s="23" t="s">
        <v>52</v>
      </c>
      <c r="E60" s="24">
        <v>0</v>
      </c>
    </row>
  </sheetData>
  <mergeCells count="30">
    <mergeCell ref="A13:D13"/>
    <mergeCell ref="C8:D8"/>
    <mergeCell ref="A9:D9"/>
    <mergeCell ref="C10:D10"/>
    <mergeCell ref="C11:D11"/>
    <mergeCell ref="C12:D12"/>
    <mergeCell ref="C25:D25"/>
    <mergeCell ref="C14:D14"/>
    <mergeCell ref="C15:D15"/>
    <mergeCell ref="C16:D16"/>
    <mergeCell ref="C17:D17"/>
    <mergeCell ref="A18:D18"/>
    <mergeCell ref="C19:D19"/>
    <mergeCell ref="A20:D20"/>
    <mergeCell ref="B21:D21"/>
    <mergeCell ref="C22:D22"/>
    <mergeCell ref="C23:D23"/>
    <mergeCell ref="B24:D24"/>
    <mergeCell ref="A37:D37"/>
    <mergeCell ref="C26:D26"/>
    <mergeCell ref="C27:D27"/>
    <mergeCell ref="B28:D28"/>
    <mergeCell ref="B29:D29"/>
    <mergeCell ref="C30:D30"/>
    <mergeCell ref="C31:D31"/>
    <mergeCell ref="C32:D32"/>
    <mergeCell ref="C33:D33"/>
    <mergeCell ref="C34:D34"/>
    <mergeCell ref="A35:D35"/>
    <mergeCell ref="C36:D36"/>
  </mergeCells>
  <pageMargins left="0.59055118110236204" right="0.39370078740157499" top="0.39370078740157499" bottom="0.39370078740157499" header="0.39370078740157499" footer="0.39370078740157499"/>
  <pageSetup paperSize="9" scale="43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2</vt:i4>
      </vt:variant>
    </vt:vector>
  </HeadingPairs>
  <TitlesOfParts>
    <vt:vector size="5" baseType="lpstr">
      <vt:lpstr>Yhteinen kunta</vt:lpstr>
      <vt:lpstr>Nurmes</vt:lpstr>
      <vt:lpstr>Valtimo</vt:lpstr>
      <vt:lpstr>Nurmes!Tulostusotsikot</vt:lpstr>
      <vt:lpstr>Valtimo!Tulostusotsikot</vt:lpstr>
    </vt:vector>
  </TitlesOfParts>
  <Company>PKMKV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Sallinen Jussi</dc:creator>
  <cp:lastModifiedBy>Sallinen Jussi</cp:lastModifiedBy>
  <dcterms:created xsi:type="dcterms:W3CDTF">2019-01-23T15:46:16Z</dcterms:created>
  <dcterms:modified xsi:type="dcterms:W3CDTF">2019-01-29T08:44:05Z</dcterms:modified>
</cp:coreProperties>
</file>